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9360" windowHeight="4440" activeTab="0"/>
  </bookViews>
  <sheets>
    <sheet name="Accounting" sheetId="1" r:id="rId1"/>
    <sheet name="Variables" sheetId="2" state="veryHidden" r:id="rId2"/>
  </sheets>
  <definedNames>
    <definedName name="_Order1" hidden="1">0</definedName>
    <definedName name="IntroPrintArea">#REF!</definedName>
    <definedName name="_xlnm.Print_Area" localSheetId="0">'Accounting'!$A$2:$AA$208</definedName>
    <definedName name="TemplatePrintArea">'Accounting'!$E$2:$T$208</definedName>
  </definedNames>
  <calcPr fullCalcOnLoad="1"/>
</workbook>
</file>

<file path=xl/sharedStrings.xml><?xml version="1.0" encoding="utf-8"?>
<sst xmlns="http://schemas.openxmlformats.org/spreadsheetml/2006/main" count="153" uniqueCount="109">
  <si>
    <t>Annual Loan Payments</t>
  </si>
  <si>
    <t>Loan Principal Amount</t>
  </si>
  <si>
    <t>Monthly Payments</t>
  </si>
  <si>
    <t>Annual Interest Rate</t>
  </si>
  <si>
    <t>Interest in First Calendar Year</t>
  </si>
  <si>
    <t>Interest Over Term of Loan</t>
  </si>
  <si>
    <t>Sum of All Payments</t>
  </si>
  <si>
    <t xml:space="preserve">Beginning </t>
  </si>
  <si>
    <t xml:space="preserve">Cumulative </t>
  </si>
  <si>
    <t xml:space="preserve">Ending </t>
  </si>
  <si>
    <t>Year</t>
  </si>
  <si>
    <t>Month</t>
  </si>
  <si>
    <t xml:space="preserve">Balance </t>
  </si>
  <si>
    <t xml:space="preserve">Principal </t>
  </si>
  <si>
    <t xml:space="preserve">Interest </t>
  </si>
  <si>
    <t>YEARLY SCHEDULE OF BALANCES AND PAYMENTS</t>
  </si>
  <si>
    <t>Cumulative</t>
  </si>
  <si>
    <t>Ending</t>
  </si>
  <si>
    <t>Payments</t>
  </si>
  <si>
    <t>Principal</t>
  </si>
  <si>
    <t>Interest</t>
  </si>
  <si>
    <t>Balance</t>
  </si>
  <si>
    <t>DO NOT ERASE</t>
  </si>
  <si>
    <t>Jan</t>
  </si>
  <si>
    <t>Feb</t>
  </si>
  <si>
    <t>Mar</t>
  </si>
  <si>
    <t>Apr</t>
  </si>
  <si>
    <t>May</t>
  </si>
  <si>
    <t>Jun</t>
  </si>
  <si>
    <t>Jul</t>
  </si>
  <si>
    <t>Aug</t>
  </si>
  <si>
    <t>Sep</t>
  </si>
  <si>
    <t>Oct</t>
  </si>
  <si>
    <t>Nov</t>
  </si>
  <si>
    <t>Dec</t>
  </si>
  <si>
    <t>Months</t>
  </si>
  <si>
    <t>Base Year</t>
  </si>
  <si>
    <t>Years</t>
  </si>
  <si>
    <t>Last Year</t>
  </si>
  <si>
    <t>Mos in Last Yr</t>
  </si>
  <si>
    <t>_Example</t>
  </si>
  <si>
    <t>_Shading</t>
  </si>
  <si>
    <t>_Series</t>
  </si>
  <si>
    <t>_Look</t>
  </si>
  <si>
    <t>OfficeReady 3.0</t>
  </si>
  <si>
    <t>Due Day</t>
  </si>
  <si>
    <t>Month first payment due</t>
  </si>
  <si>
    <t>Year first payment due</t>
  </si>
  <si>
    <t>ENTER THESE NUMBERS BELOW</t>
  </si>
  <si>
    <t>MORTGAGE ACCOUNTING</t>
  </si>
  <si>
    <t>Enter 999 for interest only balloon</t>
  </si>
  <si>
    <r>
      <t xml:space="preserve">Loan Period in </t>
    </r>
    <r>
      <rPr>
        <b/>
        <sz val="10"/>
        <rFont val="Arial"/>
        <family val="2"/>
      </rPr>
      <t>Years</t>
    </r>
  </si>
  <si>
    <t>Due</t>
  </si>
  <si>
    <t>Day</t>
  </si>
  <si>
    <t>Paid</t>
  </si>
  <si>
    <t>Days</t>
  </si>
  <si>
    <t>Late</t>
  </si>
  <si>
    <t>Charge</t>
  </si>
  <si>
    <t>Late Charge</t>
  </si>
  <si>
    <t>Days Before Late</t>
  </si>
  <si>
    <t xml:space="preserve">Payment </t>
  </si>
  <si>
    <t>Received</t>
  </si>
  <si>
    <t>Escrow</t>
  </si>
  <si>
    <t>Apply to</t>
  </si>
  <si>
    <t>Escrow payment (if any)</t>
  </si>
  <si>
    <t>Mortgage Summary</t>
  </si>
  <si>
    <t>Borrower:</t>
  </si>
  <si>
    <t>Address:</t>
  </si>
  <si>
    <t>City:</t>
  </si>
  <si>
    <t>State and Zip</t>
  </si>
  <si>
    <t>Social Security No.</t>
  </si>
  <si>
    <t>Co_Borrower</t>
  </si>
  <si>
    <t>Work phone:</t>
  </si>
  <si>
    <t>Home Phone:</t>
  </si>
  <si>
    <t>Payments Received for first 120 months</t>
  </si>
  <si>
    <t>Total in</t>
  </si>
  <si>
    <t>Date of Escrow</t>
  </si>
  <si>
    <t>Disbursement</t>
  </si>
  <si>
    <t>Type of</t>
  </si>
  <si>
    <t>Amount of</t>
  </si>
  <si>
    <t>Inc. Escrow</t>
  </si>
  <si>
    <t>(number)</t>
  </si>
  <si>
    <t>Copyright 2003 Mortgage-investments.com, Inc.</t>
  </si>
  <si>
    <t>http://www.mortgage-investments.com</t>
  </si>
  <si>
    <t>As you can see, the spreadsheet will fill up with the expected payments and due dates. Write over them as you receive the actual payments.</t>
  </si>
  <si>
    <t>Only enter in the yellow boxes, everything else is calculated. You can write over the late charge if you wish, although we do not recommend it.</t>
  </si>
  <si>
    <t>January</t>
  </si>
  <si>
    <t>Payment</t>
  </si>
  <si>
    <r>
      <t>Please read below before using</t>
    </r>
    <r>
      <rPr>
        <sz val="10"/>
        <color indexed="17"/>
        <rFont val="Arial"/>
        <family val="2"/>
      </rPr>
      <t>.</t>
    </r>
  </si>
  <si>
    <r>
      <t>Disclaimer.</t>
    </r>
    <r>
      <rPr>
        <sz val="10"/>
        <color indexed="17"/>
        <rFont val="Arial"/>
        <family val="2"/>
      </rPr>
      <t xml:space="preserve"> This spreadsheet is believed to be accurate for USA 365 day year mortgages but we do not guarantee it's accuracy and accept no responsibilty for any errors.</t>
    </r>
  </si>
  <si>
    <t>If in doubt, ask your CPA to check your numbers.</t>
  </si>
  <si>
    <t>Many of the calculations in this spreadsheet are locked for security purposes. Please don't ask us for the unlock code.</t>
  </si>
  <si>
    <t>If we gave it out it would be easy for someone to add a virus in a macro and we would get the blame.</t>
  </si>
  <si>
    <t>You are welcome to share this spreadsheet with friends and clients provided it is not altered in any way. To insure they get the latest version, we suggest they download it from our web site.</t>
  </si>
  <si>
    <t>always neg.</t>
  </si>
  <si>
    <t xml:space="preserve">Escrow </t>
  </si>
  <si>
    <t>Chg. As needed</t>
  </si>
  <si>
    <t>Interest is added on a monthly not daily basis using a 365 day year.</t>
  </si>
  <si>
    <t>There are laws controlling how much you should hold in the escrow account. There should be enough to meet the property taxes and insurance when they are due plus 2 months.</t>
  </si>
  <si>
    <t>At loan closing enough should be collected towards the property taxes and insurance so that, along with the escrow payments, there is enough in the escrow account to meet these costs when due.</t>
  </si>
  <si>
    <r>
      <t>ESCROW PAYMENTS.</t>
    </r>
    <r>
      <rPr>
        <sz val="10"/>
        <color indexed="17"/>
        <rFont val="Arial"/>
        <family val="2"/>
      </rPr>
      <t xml:space="preserve"> Enter in the "Apply to Escrow" box the amount you want to apply to the escrow account. This will vary as years go by. There should be enough collected to pay the property tax &amp; insurance as they fall due, but not more than 2 months more than that.</t>
    </r>
  </si>
  <si>
    <r>
      <t>UNDERPAYMENTS.</t>
    </r>
    <r>
      <rPr>
        <sz val="10"/>
        <color indexed="17"/>
        <rFont val="Arial"/>
        <family val="2"/>
      </rPr>
      <t xml:space="preserve"> Underpayments increase the principal owing. Interest due for that month is calculated on the new principal owing.</t>
    </r>
  </si>
  <si>
    <r>
      <t>END OF LOAN</t>
    </r>
    <r>
      <rPr>
        <sz val="10"/>
        <color indexed="17"/>
        <rFont val="Arial"/>
        <family val="2"/>
      </rPr>
      <t>. You should give credit for the escrow balance to the amount finally due.</t>
    </r>
  </si>
  <si>
    <r>
      <t>REDUCED PAYMENT</t>
    </r>
    <r>
      <rPr>
        <sz val="10"/>
        <color indexed="17"/>
        <rFont val="Arial"/>
        <family val="2"/>
      </rPr>
      <t>. If the payment is less than required, the difference is added onto the principal outstanding. Also the difference is added onto the next months payment.</t>
    </r>
  </si>
  <si>
    <r>
      <t>NO PAYMENT.</t>
    </r>
    <r>
      <rPr>
        <sz val="10"/>
        <color indexed="17"/>
        <rFont val="Arial"/>
        <family val="2"/>
      </rPr>
      <t xml:space="preserve"> If no payment is received, enter 0 in the payment received and the last day of the month as the received date. This adds on the interest, increases the next payment &amp; adds the late charge.</t>
    </r>
  </si>
  <si>
    <t>You can alter the escrow due if it changes from the amount first entered, but do it in the column, "Escrow Due" to avoid throwing out earlier calculations. The Escrow Payment Due for later months will also change.</t>
  </si>
  <si>
    <t>John Doe</t>
  </si>
  <si>
    <r>
      <t xml:space="preserve">BEFORE YOU MAKE ANY ENTRIES. </t>
    </r>
    <r>
      <rPr>
        <sz val="10"/>
        <color indexed="17"/>
        <rFont val="Arial"/>
        <family val="2"/>
      </rPr>
      <t>Keep this as your Master Copy. Make one copy of this spreadsheet for each mortgage you own using   File&gt; Save As. For example "Save As" mortgage-accounting-john-doe.xls</t>
    </r>
  </si>
  <si>
    <t>Now enter your mortgage details. Name, address, original principal balance etc.</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</si>
</sst>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
    <numFmt numFmtId="167" formatCode="_(* #,##0.000_);_(* \(#,##0.000\);_(* &quot;-&quot;??_);_(@_)"/>
    <numFmt numFmtId="168" formatCode="0.0%"/>
    <numFmt numFmtId="169" formatCode="#,##0.0"/>
    <numFmt numFmtId="170" formatCode="dd\-mmm\-yy_)"/>
    <numFmt numFmtId="171" formatCode="0_)"/>
    <numFmt numFmtId="172" formatCode="mm/dd/yy_)"/>
    <numFmt numFmtId="173" formatCode="mm/dd/yy"/>
    <numFmt numFmtId="174" formatCode="0_);[Red]\(0\)"/>
    <numFmt numFmtId="175" formatCode="#,##0.0_);\(#,##0.0\)"/>
  </numFmts>
  <fonts count="16">
    <font>
      <sz val="10"/>
      <name val="Arial"/>
      <family val="2"/>
    </font>
    <font>
      <b/>
      <sz val="10"/>
      <name val="Arial"/>
      <family val="0"/>
    </font>
    <font>
      <i/>
      <sz val="10"/>
      <name val="Arial"/>
      <family val="0"/>
    </font>
    <font>
      <b/>
      <i/>
      <sz val="10"/>
      <name val="Arial"/>
      <family val="0"/>
    </font>
    <font>
      <sz val="10"/>
      <name val="Arial MT"/>
      <family val="2"/>
    </font>
    <font>
      <b/>
      <sz val="10"/>
      <color indexed="9"/>
      <name val="Arial"/>
      <family val="0"/>
    </font>
    <font>
      <u val="single"/>
      <sz val="10"/>
      <color indexed="12"/>
      <name val="Arial"/>
      <family val="2"/>
    </font>
    <font>
      <u val="single"/>
      <sz val="10"/>
      <color indexed="36"/>
      <name val="Arial"/>
      <family val="2"/>
    </font>
    <font>
      <sz val="10"/>
      <color indexed="17"/>
      <name val="Arial"/>
      <family val="2"/>
    </font>
    <font>
      <b/>
      <sz val="26"/>
      <color indexed="17"/>
      <name val="Arial Black"/>
      <family val="2"/>
    </font>
    <font>
      <sz val="10"/>
      <color indexed="17"/>
      <name val="Arial MT"/>
      <family val="2"/>
    </font>
    <font>
      <b/>
      <sz val="12"/>
      <color indexed="32"/>
      <name val="Arial"/>
      <family val="2"/>
    </font>
    <font>
      <sz val="10"/>
      <color indexed="32"/>
      <name val="Arial"/>
      <family val="2"/>
    </font>
    <font>
      <b/>
      <sz val="12"/>
      <color indexed="18"/>
      <name val="Arial"/>
      <family val="2"/>
    </font>
    <font>
      <sz val="14"/>
      <color indexed="10"/>
      <name val="Arial"/>
      <family val="2"/>
    </font>
    <font>
      <b/>
      <sz val="10"/>
      <color indexed="17"/>
      <name val="Arial"/>
      <family val="2"/>
    </font>
  </fonts>
  <fills count="9">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17"/>
        <bgColor indexed="64"/>
      </patternFill>
    </fill>
    <fill>
      <patternFill patternType="solid">
        <fgColor indexed="17"/>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s>
  <borders count="15">
    <border>
      <left/>
      <right/>
      <top/>
      <bottom/>
      <diagonal/>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3">
    <xf numFmtId="38" fontId="0" fillId="0" borderId="0" applyFon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6"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9" fontId="0" fillId="0" borderId="0" applyFont="0" applyFill="0" applyBorder="0" applyAlignment="0" applyProtection="0"/>
  </cellStyleXfs>
  <cellXfs count="75">
    <xf numFmtId="38" fontId="0" fillId="0" borderId="0" xfId="0" applyAlignment="1">
      <alignment/>
    </xf>
    <xf numFmtId="39" fontId="0" fillId="2" borderId="0" xfId="0" applyNumberFormat="1" applyFont="1" applyFill="1" applyAlignment="1" applyProtection="1">
      <alignment/>
      <protection/>
    </xf>
    <xf numFmtId="7" fontId="0" fillId="2" borderId="0" xfId="0" applyNumberFormat="1" applyFont="1" applyFill="1" applyAlignment="1" applyProtection="1">
      <alignment/>
      <protection/>
    </xf>
    <xf numFmtId="171" fontId="0" fillId="2" borderId="0" xfId="0" applyNumberFormat="1" applyFont="1" applyFill="1" applyAlignment="1" applyProtection="1">
      <alignment horizontal="left"/>
      <protection/>
    </xf>
    <xf numFmtId="39" fontId="1" fillId="3" borderId="1" xfId="0" applyNumberFormat="1" applyFont="1" applyFill="1" applyBorder="1" applyAlignment="1" applyProtection="1">
      <alignment horizontal="centerContinuous"/>
      <protection/>
    </xf>
    <xf numFmtId="39" fontId="0" fillId="3" borderId="2" xfId="0" applyNumberFormat="1" applyFont="1" applyFill="1" applyBorder="1" applyAlignment="1" applyProtection="1">
      <alignment horizontal="centerContinuous"/>
      <protection/>
    </xf>
    <xf numFmtId="39" fontId="0" fillId="3" borderId="3" xfId="0" applyNumberFormat="1" applyFont="1" applyFill="1" applyBorder="1" applyAlignment="1" applyProtection="1">
      <alignment horizontal="centerContinuous"/>
      <protection/>
    </xf>
    <xf numFmtId="39" fontId="0" fillId="3" borderId="4" xfId="0" applyNumberFormat="1" applyFont="1" applyFill="1" applyBorder="1" applyAlignment="1" applyProtection="1">
      <alignment/>
      <protection/>
    </xf>
    <xf numFmtId="39" fontId="0" fillId="3" borderId="0" xfId="0" applyNumberFormat="1" applyFont="1" applyFill="1" applyAlignment="1" applyProtection="1">
      <alignment/>
      <protection/>
    </xf>
    <xf numFmtId="39" fontId="0" fillId="3" borderId="5" xfId="0" applyNumberFormat="1" applyFont="1" applyFill="1" applyBorder="1" applyAlignment="1" applyProtection="1">
      <alignment/>
      <protection/>
    </xf>
    <xf numFmtId="171" fontId="0" fillId="3" borderId="4" xfId="0" applyNumberFormat="1" applyFont="1" applyFill="1" applyBorder="1" applyAlignment="1" applyProtection="1">
      <alignment/>
      <protection/>
    </xf>
    <xf numFmtId="39" fontId="0" fillId="3" borderId="6" xfId="0" applyNumberFormat="1" applyFont="1" applyFill="1" applyBorder="1" applyAlignment="1" applyProtection="1">
      <alignment/>
      <protection/>
    </xf>
    <xf numFmtId="39" fontId="0" fillId="3" borderId="7" xfId="0" applyNumberFormat="1" applyFont="1" applyFill="1" applyBorder="1" applyAlignment="1" applyProtection="1">
      <alignment/>
      <protection/>
    </xf>
    <xf numFmtId="39" fontId="0" fillId="3" borderId="8" xfId="0" applyNumberFormat="1" applyFont="1" applyFill="1" applyBorder="1" applyAlignment="1" applyProtection="1">
      <alignment/>
      <protection/>
    </xf>
    <xf numFmtId="38" fontId="0" fillId="0" borderId="0" xfId="0" applyAlignment="1" applyProtection="1">
      <alignment/>
      <protection/>
    </xf>
    <xf numFmtId="38" fontId="4" fillId="2" borderId="0" xfId="0" applyFont="1" applyFill="1" applyAlignment="1" applyProtection="1">
      <alignment horizontal="centerContinuous"/>
      <protection/>
    </xf>
    <xf numFmtId="38" fontId="4" fillId="2" borderId="0" xfId="0" applyFont="1" applyFill="1" applyAlignment="1" applyProtection="1">
      <alignment/>
      <protection/>
    </xf>
    <xf numFmtId="38" fontId="0" fillId="2" borderId="0" xfId="0" applyFont="1" applyFill="1" applyAlignment="1" applyProtection="1">
      <alignment/>
      <protection/>
    </xf>
    <xf numFmtId="0" fontId="0" fillId="3" borderId="5" xfId="0" applyNumberFormat="1" applyFont="1" applyFill="1" applyBorder="1" applyAlignment="1" applyProtection="1">
      <alignment/>
      <protection/>
    </xf>
    <xf numFmtId="38" fontId="5" fillId="4" borderId="0" xfId="0" applyFont="1" applyFill="1" applyAlignment="1" applyProtection="1">
      <alignment/>
      <protection/>
    </xf>
    <xf numFmtId="38" fontId="5" fillId="5" borderId="9" xfId="0" applyFont="1" applyFill="1" applyBorder="1" applyAlignment="1" applyProtection="1">
      <alignment/>
      <protection/>
    </xf>
    <xf numFmtId="38" fontId="5" fillId="5" borderId="10" xfId="0" applyFont="1" applyFill="1" applyBorder="1" applyAlignment="1" applyProtection="1">
      <alignment/>
      <protection/>
    </xf>
    <xf numFmtId="39" fontId="5" fillId="5" borderId="10" xfId="0" applyNumberFormat="1" applyFont="1" applyFill="1" applyBorder="1" applyAlignment="1" applyProtection="1">
      <alignment horizontal="right"/>
      <protection/>
    </xf>
    <xf numFmtId="38" fontId="5" fillId="5" borderId="10" xfId="0" applyFont="1" applyFill="1" applyBorder="1" applyAlignment="1" applyProtection="1">
      <alignment horizontal="right"/>
      <protection/>
    </xf>
    <xf numFmtId="38" fontId="5" fillId="5" borderId="11" xfId="0" applyFont="1" applyFill="1" applyBorder="1" applyAlignment="1" applyProtection="1">
      <alignment horizontal="right"/>
      <protection/>
    </xf>
    <xf numFmtId="39" fontId="5" fillId="5" borderId="12" xfId="0" applyNumberFormat="1" applyFont="1" applyFill="1" applyBorder="1" applyAlignment="1" applyProtection="1">
      <alignment/>
      <protection/>
    </xf>
    <xf numFmtId="39" fontId="5" fillId="5" borderId="13" xfId="0" applyNumberFormat="1" applyFont="1" applyFill="1" applyBorder="1" applyAlignment="1" applyProtection="1">
      <alignment/>
      <protection/>
    </xf>
    <xf numFmtId="39" fontId="5" fillId="5" borderId="13" xfId="0" applyNumberFormat="1" applyFont="1" applyFill="1" applyBorder="1" applyAlignment="1" applyProtection="1">
      <alignment horizontal="left"/>
      <protection/>
    </xf>
    <xf numFmtId="39" fontId="5" fillId="5" borderId="13" xfId="0" applyNumberFormat="1" applyFont="1" applyFill="1" applyBorder="1" applyAlignment="1" applyProtection="1">
      <alignment horizontal="right"/>
      <protection/>
    </xf>
    <xf numFmtId="38" fontId="5" fillId="5" borderId="14" xfId="0" applyFont="1" applyFill="1" applyBorder="1" applyAlignment="1" applyProtection="1">
      <alignment horizontal="right"/>
      <protection/>
    </xf>
    <xf numFmtId="38" fontId="8" fillId="0" borderId="0" xfId="0" applyFont="1" applyAlignment="1" applyProtection="1">
      <alignment/>
      <protection/>
    </xf>
    <xf numFmtId="37" fontId="9" fillId="2" borderId="0" xfId="0" applyNumberFormat="1" applyFont="1" applyFill="1" applyAlignment="1" applyProtection="1">
      <alignment horizontal="centerContinuous"/>
      <protection/>
    </xf>
    <xf numFmtId="38" fontId="10" fillId="2" borderId="0" xfId="0" applyFont="1" applyFill="1" applyAlignment="1" applyProtection="1">
      <alignment horizontal="centerContinuous"/>
      <protection/>
    </xf>
    <xf numFmtId="39" fontId="11" fillId="2" borderId="0" xfId="0" applyNumberFormat="1" applyFont="1" applyFill="1" applyAlignment="1" applyProtection="1">
      <alignment horizontal="left"/>
      <protection/>
    </xf>
    <xf numFmtId="38" fontId="12" fillId="0" borderId="0" xfId="0" applyFont="1" applyAlignment="1" applyProtection="1">
      <alignment/>
      <protection/>
    </xf>
    <xf numFmtId="39" fontId="13" fillId="2" borderId="0" xfId="0" applyNumberFormat="1" applyFont="1" applyFill="1" applyAlignment="1" applyProtection="1">
      <alignment horizontal="left"/>
      <protection/>
    </xf>
    <xf numFmtId="39" fontId="5" fillId="5" borderId="0" xfId="0" applyNumberFormat="1" applyFont="1" applyFill="1" applyBorder="1" applyAlignment="1" applyProtection="1">
      <alignment horizontal="right"/>
      <protection/>
    </xf>
    <xf numFmtId="38" fontId="5" fillId="4" borderId="0" xfId="0" applyFont="1" applyFill="1" applyAlignment="1" applyProtection="1">
      <alignment horizontal="center"/>
      <protection/>
    </xf>
    <xf numFmtId="38" fontId="5" fillId="4" borderId="0" xfId="0" applyFont="1" applyFill="1" applyBorder="1" applyAlignment="1" applyProtection="1">
      <alignment horizontal="center"/>
      <protection/>
    </xf>
    <xf numFmtId="39" fontId="5" fillId="5" borderId="0" xfId="0" applyNumberFormat="1" applyFont="1" applyFill="1" applyBorder="1" applyAlignment="1" applyProtection="1">
      <alignment horizontal="center"/>
      <protection/>
    </xf>
    <xf numFmtId="39" fontId="5" fillId="5" borderId="0" xfId="0" applyNumberFormat="1" applyFont="1" applyFill="1" applyBorder="1" applyAlignment="1" applyProtection="1">
      <alignment/>
      <protection/>
    </xf>
    <xf numFmtId="39" fontId="5" fillId="5" borderId="0" xfId="0" applyNumberFormat="1" applyFont="1" applyFill="1" applyBorder="1" applyAlignment="1" applyProtection="1">
      <alignment horizontal="left"/>
      <protection/>
    </xf>
    <xf numFmtId="38" fontId="5" fillId="5" borderId="0" xfId="0" applyFont="1" applyFill="1" applyBorder="1" applyAlignment="1" applyProtection="1">
      <alignment horizontal="right"/>
      <protection/>
    </xf>
    <xf numFmtId="38" fontId="6" fillId="2" borderId="0" xfId="20" applyFill="1" applyAlignment="1" applyProtection="1">
      <alignment/>
      <protection/>
    </xf>
    <xf numFmtId="38" fontId="8" fillId="0" borderId="0" xfId="0" applyFont="1" applyBorder="1" applyAlignment="1" applyProtection="1">
      <alignment vertical="center"/>
      <protection/>
    </xf>
    <xf numFmtId="38" fontId="8" fillId="0" borderId="0" xfId="0" applyFont="1" applyAlignment="1" applyProtection="1">
      <alignment vertical="center"/>
      <protection/>
    </xf>
    <xf numFmtId="37" fontId="9" fillId="2" borderId="0" xfId="0" applyNumberFormat="1" applyFont="1" applyFill="1" applyAlignment="1" applyProtection="1">
      <alignment horizontal="centerContinuous" vertical="center"/>
      <protection/>
    </xf>
    <xf numFmtId="38" fontId="10" fillId="2" borderId="0" xfId="0" applyFont="1" applyFill="1" applyAlignment="1" applyProtection="1">
      <alignment horizontal="centerContinuous" vertical="center"/>
      <protection/>
    </xf>
    <xf numFmtId="7" fontId="0" fillId="6" borderId="0" xfId="0" applyNumberFormat="1" applyFont="1" applyFill="1" applyAlignment="1" applyProtection="1">
      <alignment/>
      <protection locked="0"/>
    </xf>
    <xf numFmtId="10" fontId="0" fillId="6" borderId="0" xfId="0" applyNumberFormat="1" applyFont="1" applyFill="1" applyAlignment="1" applyProtection="1">
      <alignment/>
      <protection locked="0"/>
    </xf>
    <xf numFmtId="37" fontId="0" fillId="6" borderId="0" xfId="0" applyNumberFormat="1" applyFont="1" applyFill="1" applyAlignment="1" applyProtection="1">
      <alignment/>
      <protection locked="0"/>
    </xf>
    <xf numFmtId="171" fontId="0" fillId="6" borderId="0" xfId="0" applyNumberFormat="1" applyFont="1" applyFill="1" applyAlignment="1" applyProtection="1">
      <alignment/>
      <protection locked="0"/>
    </xf>
    <xf numFmtId="37" fontId="0" fillId="6" borderId="0" xfId="0" applyNumberFormat="1" applyFont="1" applyFill="1" applyAlignment="1" applyProtection="1">
      <alignment horizontal="right"/>
      <protection locked="0"/>
    </xf>
    <xf numFmtId="38" fontId="14" fillId="0" borderId="0" xfId="0" applyFont="1" applyAlignment="1" applyProtection="1">
      <alignment vertical="center"/>
      <protection/>
    </xf>
    <xf numFmtId="38" fontId="15" fillId="0" borderId="0" xfId="0" applyFont="1" applyAlignment="1" applyProtection="1">
      <alignment vertical="center"/>
      <protection/>
    </xf>
    <xf numFmtId="38" fontId="0" fillId="7" borderId="0" xfId="0" applyFill="1" applyAlignment="1" applyProtection="1">
      <alignment/>
      <protection locked="0"/>
    </xf>
    <xf numFmtId="38" fontId="4" fillId="8" borderId="0" xfId="0" applyFont="1" applyFill="1" applyAlignment="1" applyProtection="1">
      <alignment/>
      <protection locked="0"/>
    </xf>
    <xf numFmtId="38" fontId="0" fillId="8" borderId="0" xfId="0" applyFont="1" applyFill="1" applyAlignment="1" applyProtection="1">
      <alignment/>
      <protection locked="0"/>
    </xf>
    <xf numFmtId="40" fontId="0" fillId="8" borderId="0" xfId="0" applyNumberFormat="1" applyFont="1" applyFill="1" applyAlignment="1" applyProtection="1">
      <alignment/>
      <protection locked="0"/>
    </xf>
    <xf numFmtId="174" fontId="0" fillId="7" borderId="0" xfId="0" applyNumberFormat="1" applyFill="1" applyAlignment="1" applyProtection="1">
      <alignment/>
      <protection locked="0"/>
    </xf>
    <xf numFmtId="7" fontId="0" fillId="2" borderId="0" xfId="0" applyNumberFormat="1" applyFont="1" applyFill="1" applyAlignment="1" applyProtection="1">
      <alignment/>
      <protection hidden="1"/>
    </xf>
    <xf numFmtId="171" fontId="0" fillId="2" borderId="0" xfId="0" applyNumberFormat="1" applyFont="1" applyFill="1" applyAlignment="1" applyProtection="1">
      <alignment horizontal="left"/>
      <protection hidden="1"/>
    </xf>
    <xf numFmtId="38" fontId="0" fillId="2" borderId="0" xfId="0" applyFont="1" applyFill="1" applyAlignment="1" applyProtection="1">
      <alignment/>
      <protection hidden="1"/>
    </xf>
    <xf numFmtId="38" fontId="0" fillId="2" borderId="0" xfId="0" applyFont="1" applyFill="1" applyAlignment="1" applyProtection="1">
      <alignment horizontal="left"/>
      <protection hidden="1"/>
    </xf>
    <xf numFmtId="4" fontId="0" fillId="2" borderId="0" xfId="0" applyNumberFormat="1" applyFont="1" applyFill="1" applyAlignment="1" applyProtection="1">
      <alignment/>
      <protection hidden="1"/>
    </xf>
    <xf numFmtId="171" fontId="0" fillId="2" borderId="0" xfId="0" applyNumberFormat="1" applyFont="1" applyFill="1" applyAlignment="1" applyProtection="1">
      <alignment/>
      <protection hidden="1"/>
    </xf>
    <xf numFmtId="4" fontId="0" fillId="8" borderId="0" xfId="0" applyNumberFormat="1" applyFont="1" applyFill="1" applyAlignment="1" applyProtection="1">
      <alignment/>
      <protection hidden="1" locked="0"/>
    </xf>
    <xf numFmtId="4" fontId="0" fillId="2" borderId="0" xfId="0" applyNumberFormat="1" applyFont="1" applyFill="1" applyAlignment="1" applyProtection="1">
      <alignment/>
      <protection hidden="1" locked="0"/>
    </xf>
    <xf numFmtId="40" fontId="0" fillId="0" borderId="0" xfId="0" applyNumberFormat="1" applyAlignment="1" applyProtection="1">
      <alignment/>
      <protection hidden="1"/>
    </xf>
    <xf numFmtId="38" fontId="0" fillId="0" borderId="0" xfId="0" applyAlignment="1" applyProtection="1">
      <alignment/>
      <protection hidden="1"/>
    </xf>
    <xf numFmtId="40" fontId="0" fillId="2" borderId="0" xfId="0" applyNumberFormat="1" applyFont="1" applyFill="1" applyAlignment="1" applyProtection="1">
      <alignment/>
      <protection hidden="1"/>
    </xf>
    <xf numFmtId="39" fontId="0" fillId="2" borderId="0" xfId="0" applyNumberFormat="1" applyFont="1" applyFill="1" applyAlignment="1" applyProtection="1">
      <alignment/>
      <protection hidden="1"/>
    </xf>
    <xf numFmtId="37" fontId="0" fillId="2" borderId="0" xfId="0" applyNumberFormat="1" applyFont="1" applyFill="1" applyAlignment="1" applyProtection="1">
      <alignment/>
      <protection hidden="1"/>
    </xf>
    <xf numFmtId="4" fontId="0" fillId="8" borderId="0" xfId="0" applyNumberFormat="1" applyFont="1" applyFill="1" applyAlignment="1" applyProtection="1">
      <alignment/>
      <protection locked="0"/>
    </xf>
    <xf numFmtId="38" fontId="15" fillId="0" borderId="0" xfId="0" applyFont="1" applyBorder="1" applyAlignment="1" applyProtection="1">
      <alignment vertical="center"/>
      <protection/>
    </xf>
  </cellXfs>
  <cellStyles count="9">
    <cellStyle name="Normal" xfId="0"/>
    <cellStyle name="Comma" xfId="15"/>
    <cellStyle name="Currency" xfId="16"/>
    <cellStyle name="Date" xfId="17"/>
    <cellStyle name="Fixed" xfId="18"/>
    <cellStyle name="Followed Hyperlink" xfId="19"/>
    <cellStyle name="Hyperlink" xfId="20"/>
    <cellStyle name="Percent" xfId="21"/>
    <cellStyle name="Tex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4</xdr:col>
      <xdr:colOff>104775</xdr:colOff>
      <xdr:row>1</xdr:row>
      <xdr:rowOff>28575</xdr:rowOff>
    </xdr:to>
    <xdr:sp>
      <xdr:nvSpPr>
        <xdr:cNvPr id="1" name="HideTemplatePointer"/>
        <xdr:cNvSpPr>
          <a:spLocks/>
        </xdr:cNvSpPr>
      </xdr:nvSpPr>
      <xdr:spPr>
        <a:xfrm>
          <a:off x="1762125" y="0"/>
          <a:ext cx="876300" cy="1047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rtgage-investment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E386"/>
  <sheetViews>
    <sheetView showGridLines="0" tabSelected="1" workbookViewId="0" topLeftCell="A32">
      <selection activeCell="L35" sqref="L35"/>
    </sheetView>
  </sheetViews>
  <sheetFormatPr defaultColWidth="9.140625" defaultRowHeight="12.75"/>
  <cols>
    <col min="1" max="2" width="9.140625" style="14" customWidth="1"/>
    <col min="3" max="3" width="8.140625" style="14" customWidth="1"/>
    <col min="4" max="4" width="11.57421875" style="14" customWidth="1"/>
    <col min="5" max="6" width="6.140625" style="14" customWidth="1"/>
    <col min="7" max="8" width="4.8515625" style="14" customWidth="1"/>
    <col min="9" max="12" width="13.00390625" style="14" customWidth="1"/>
    <col min="13" max="13" width="14.28125" style="14" customWidth="1"/>
    <col min="14" max="14" width="9.28125" style="14" customWidth="1"/>
    <col min="15" max="15" width="10.00390625" style="14" customWidth="1"/>
    <col min="16" max="16" width="10.140625" style="14" customWidth="1"/>
    <col min="17" max="17" width="11.57421875" style="14" customWidth="1"/>
    <col min="18" max="18" width="12.8515625" style="14" customWidth="1"/>
    <col min="19" max="19" width="14.8515625" style="14" customWidth="1"/>
    <col min="20" max="20" width="15.140625" style="14" customWidth="1"/>
    <col min="21" max="21" width="4.7109375" style="14" customWidth="1"/>
    <col min="22" max="22" width="10.421875" style="14" bestFit="1" customWidth="1"/>
    <col min="23" max="23" width="14.421875" style="14" customWidth="1"/>
    <col min="24" max="24" width="12.140625" style="14" customWidth="1"/>
    <col min="25" max="25" width="14.421875" style="14" customWidth="1"/>
    <col min="26" max="28" width="9.140625" style="14" customWidth="1"/>
    <col min="29" max="29" width="1.8515625" style="14" customWidth="1"/>
    <col min="30" max="30" width="2.8515625" style="14" customWidth="1"/>
    <col min="31" max="31" width="2.140625" style="14" customWidth="1"/>
    <col min="32" max="16384" width="9.140625" style="14" customWidth="1"/>
  </cols>
  <sheetData>
    <row r="1" ht="6" customHeight="1"/>
    <row r="2" spans="2:20" ht="30.75" customHeight="1">
      <c r="B2" s="30"/>
      <c r="C2" s="30"/>
      <c r="D2" s="30"/>
      <c r="E2" s="31" t="s">
        <v>49</v>
      </c>
      <c r="F2" s="32"/>
      <c r="G2" s="32"/>
      <c r="H2" s="32"/>
      <c r="I2" s="32"/>
      <c r="J2" s="32"/>
      <c r="K2" s="32"/>
      <c r="L2" s="32"/>
      <c r="M2" s="32"/>
      <c r="N2" s="32"/>
      <c r="O2" s="32"/>
      <c r="P2" s="32"/>
      <c r="Q2" s="32"/>
      <c r="R2" s="32"/>
      <c r="S2" s="32"/>
      <c r="T2" s="15"/>
    </row>
    <row r="3" spans="2:20" ht="20.25" customHeight="1">
      <c r="B3" s="30" t="s">
        <v>82</v>
      </c>
      <c r="C3" s="30"/>
      <c r="D3" s="30"/>
      <c r="E3" s="31"/>
      <c r="F3" s="32"/>
      <c r="G3" s="32"/>
      <c r="H3" s="32"/>
      <c r="I3" s="43" t="s">
        <v>83</v>
      </c>
      <c r="J3" s="43"/>
      <c r="K3" s="43"/>
      <c r="L3" s="43"/>
      <c r="M3" s="32"/>
      <c r="N3" s="32"/>
      <c r="O3" s="32"/>
      <c r="P3" s="32"/>
      <c r="Q3" s="32"/>
      <c r="R3" s="32"/>
      <c r="S3" s="32"/>
      <c r="T3" s="15"/>
    </row>
    <row r="4" spans="2:20" ht="20.25" customHeight="1">
      <c r="B4" s="53" t="s">
        <v>88</v>
      </c>
      <c r="C4" s="30"/>
      <c r="D4" s="30"/>
      <c r="E4" s="31"/>
      <c r="F4" s="32"/>
      <c r="G4" s="32"/>
      <c r="H4" s="32"/>
      <c r="I4" s="43"/>
      <c r="J4" s="43"/>
      <c r="K4" s="43"/>
      <c r="L4" s="43"/>
      <c r="M4" s="32"/>
      <c r="N4" s="32"/>
      <c r="O4" s="32"/>
      <c r="P4" s="32"/>
      <c r="Q4" s="32"/>
      <c r="R4" s="32"/>
      <c r="S4" s="32"/>
      <c r="T4" s="15"/>
    </row>
    <row r="5" spans="2:20" ht="15" customHeight="1">
      <c r="B5" s="74" t="s">
        <v>107</v>
      </c>
      <c r="C5" s="30"/>
      <c r="D5" s="30"/>
      <c r="E5" s="31"/>
      <c r="F5" s="32"/>
      <c r="G5" s="32"/>
      <c r="H5" s="32"/>
      <c r="I5" s="32"/>
      <c r="J5" s="32"/>
      <c r="K5" s="32"/>
      <c r="L5" s="32"/>
      <c r="M5" s="32"/>
      <c r="N5" s="32"/>
      <c r="O5" s="32"/>
      <c r="P5" s="32"/>
      <c r="Q5" s="32"/>
      <c r="R5" s="32"/>
      <c r="S5" s="32"/>
      <c r="T5" s="15"/>
    </row>
    <row r="6" spans="2:20" ht="15" customHeight="1">
      <c r="B6" s="44" t="s">
        <v>108</v>
      </c>
      <c r="C6" s="30"/>
      <c r="D6" s="30"/>
      <c r="E6" s="31"/>
      <c r="F6" s="32"/>
      <c r="G6" s="32"/>
      <c r="H6" s="32"/>
      <c r="I6" s="32"/>
      <c r="J6" s="32"/>
      <c r="K6" s="32"/>
      <c r="L6" s="32"/>
      <c r="M6" s="32"/>
      <c r="N6" s="32"/>
      <c r="O6" s="32"/>
      <c r="P6" s="32"/>
      <c r="Q6" s="32"/>
      <c r="R6" s="32"/>
      <c r="S6" s="32"/>
      <c r="T6" s="15"/>
    </row>
    <row r="7" spans="2:20" ht="12" customHeight="1">
      <c r="B7" s="45" t="s">
        <v>84</v>
      </c>
      <c r="C7" s="30"/>
      <c r="D7" s="30"/>
      <c r="E7" s="31"/>
      <c r="F7" s="32"/>
      <c r="G7" s="32"/>
      <c r="H7" s="32"/>
      <c r="I7" s="32"/>
      <c r="J7" s="32"/>
      <c r="K7" s="32"/>
      <c r="L7" s="32"/>
      <c r="M7" s="32"/>
      <c r="N7" s="32"/>
      <c r="O7" s="32"/>
      <c r="P7" s="32"/>
      <c r="Q7" s="32"/>
      <c r="R7" s="32"/>
      <c r="S7" s="32"/>
      <c r="T7" s="15"/>
    </row>
    <row r="8" spans="2:20" ht="12.75" customHeight="1">
      <c r="B8" s="45" t="s">
        <v>85</v>
      </c>
      <c r="C8" s="45"/>
      <c r="D8" s="45"/>
      <c r="E8" s="46"/>
      <c r="F8" s="47"/>
      <c r="G8" s="47"/>
      <c r="H8" s="47"/>
      <c r="I8" s="47"/>
      <c r="J8" s="47"/>
      <c r="K8" s="47"/>
      <c r="L8" s="47"/>
      <c r="M8" s="47"/>
      <c r="N8" s="47"/>
      <c r="O8" s="47"/>
      <c r="P8" s="47"/>
      <c r="Q8" s="47"/>
      <c r="R8" s="32"/>
      <c r="S8" s="32"/>
      <c r="T8" s="15"/>
    </row>
    <row r="9" spans="2:20" ht="12.75" customHeight="1">
      <c r="B9" s="45"/>
      <c r="C9" s="45"/>
      <c r="D9" s="45"/>
      <c r="E9" s="46"/>
      <c r="F9" s="47"/>
      <c r="G9" s="47"/>
      <c r="H9" s="47"/>
      <c r="I9" s="47"/>
      <c r="J9" s="47"/>
      <c r="K9" s="47"/>
      <c r="L9" s="47"/>
      <c r="M9" s="47"/>
      <c r="N9" s="47"/>
      <c r="O9" s="47"/>
      <c r="P9" s="47"/>
      <c r="Q9" s="47"/>
      <c r="R9" s="32"/>
      <c r="S9" s="32"/>
      <c r="T9" s="15"/>
    </row>
    <row r="10" spans="2:20" ht="12.75" customHeight="1">
      <c r="B10" s="54" t="s">
        <v>103</v>
      </c>
      <c r="C10" s="45"/>
      <c r="D10" s="45"/>
      <c r="E10" s="46"/>
      <c r="F10" s="47"/>
      <c r="G10" s="47"/>
      <c r="H10" s="47"/>
      <c r="I10" s="47"/>
      <c r="J10" s="47"/>
      <c r="K10" s="47"/>
      <c r="L10" s="47"/>
      <c r="M10" s="47"/>
      <c r="N10" s="47"/>
      <c r="O10" s="47"/>
      <c r="P10" s="47"/>
      <c r="Q10" s="47"/>
      <c r="R10" s="32"/>
      <c r="S10" s="32"/>
      <c r="T10" s="15"/>
    </row>
    <row r="11" spans="2:20" ht="12.75" customHeight="1">
      <c r="B11" s="54" t="s">
        <v>104</v>
      </c>
      <c r="C11" s="45"/>
      <c r="D11" s="45"/>
      <c r="E11" s="46"/>
      <c r="F11" s="47"/>
      <c r="G11" s="47"/>
      <c r="H11" s="47"/>
      <c r="I11" s="47"/>
      <c r="J11" s="47"/>
      <c r="K11" s="47"/>
      <c r="L11" s="47"/>
      <c r="M11" s="47"/>
      <c r="N11" s="47"/>
      <c r="O11" s="47"/>
      <c r="P11" s="47"/>
      <c r="Q11" s="47"/>
      <c r="R11" s="32"/>
      <c r="S11" s="32"/>
      <c r="T11" s="15"/>
    </row>
    <row r="12" spans="2:20" ht="12.75" customHeight="1">
      <c r="B12" s="45"/>
      <c r="C12" s="45"/>
      <c r="D12" s="45"/>
      <c r="E12" s="46"/>
      <c r="F12" s="47"/>
      <c r="G12" s="47"/>
      <c r="H12" s="47"/>
      <c r="I12" s="47"/>
      <c r="J12" s="47"/>
      <c r="K12" s="47"/>
      <c r="L12" s="47"/>
      <c r="M12" s="47"/>
      <c r="N12" s="47"/>
      <c r="O12" s="47"/>
      <c r="P12" s="47"/>
      <c r="Q12" s="47"/>
      <c r="R12" s="32"/>
      <c r="S12" s="32"/>
      <c r="T12" s="15"/>
    </row>
    <row r="13" spans="2:20" ht="12.75" customHeight="1">
      <c r="B13" s="54" t="s">
        <v>100</v>
      </c>
      <c r="C13" s="45"/>
      <c r="D13" s="45"/>
      <c r="E13" s="46"/>
      <c r="F13" s="47"/>
      <c r="G13" s="47"/>
      <c r="H13" s="47"/>
      <c r="I13" s="47"/>
      <c r="J13" s="47"/>
      <c r="K13" s="47"/>
      <c r="L13" s="47"/>
      <c r="M13" s="47"/>
      <c r="N13" s="47"/>
      <c r="O13" s="47"/>
      <c r="P13" s="47"/>
      <c r="Q13" s="47"/>
      <c r="R13" s="32"/>
      <c r="S13" s="32"/>
      <c r="T13" s="15"/>
    </row>
    <row r="14" spans="2:20" ht="12.75" customHeight="1">
      <c r="B14" s="45" t="s">
        <v>105</v>
      </c>
      <c r="C14" s="45"/>
      <c r="D14" s="45"/>
      <c r="E14" s="46"/>
      <c r="F14" s="47"/>
      <c r="G14" s="47"/>
      <c r="H14" s="47"/>
      <c r="I14" s="47"/>
      <c r="J14" s="47"/>
      <c r="K14" s="47"/>
      <c r="L14" s="47"/>
      <c r="M14" s="47"/>
      <c r="N14" s="47"/>
      <c r="O14" s="47"/>
      <c r="P14" s="47"/>
      <c r="Q14" s="47"/>
      <c r="R14" s="32"/>
      <c r="S14" s="32"/>
      <c r="T14" s="15"/>
    </row>
    <row r="15" spans="2:20" ht="12.75" customHeight="1">
      <c r="B15" s="45" t="s">
        <v>98</v>
      </c>
      <c r="C15" s="45"/>
      <c r="D15" s="45"/>
      <c r="E15" s="46"/>
      <c r="F15" s="47"/>
      <c r="G15" s="47"/>
      <c r="H15" s="47"/>
      <c r="I15" s="47"/>
      <c r="J15" s="47"/>
      <c r="K15" s="47"/>
      <c r="L15" s="47"/>
      <c r="M15" s="47"/>
      <c r="N15" s="47"/>
      <c r="O15" s="47"/>
      <c r="P15" s="47"/>
      <c r="Q15" s="47"/>
      <c r="R15" s="32"/>
      <c r="S15" s="32"/>
      <c r="T15" s="15"/>
    </row>
    <row r="16" spans="2:20" ht="12.75" customHeight="1">
      <c r="B16" s="45" t="s">
        <v>99</v>
      </c>
      <c r="C16" s="45"/>
      <c r="D16" s="45"/>
      <c r="E16" s="46"/>
      <c r="F16" s="47"/>
      <c r="G16" s="47"/>
      <c r="H16" s="47"/>
      <c r="I16" s="47"/>
      <c r="J16" s="47"/>
      <c r="K16" s="47"/>
      <c r="L16" s="47"/>
      <c r="M16" s="47"/>
      <c r="N16" s="47"/>
      <c r="O16" s="47"/>
      <c r="P16" s="47"/>
      <c r="Q16" s="47"/>
      <c r="R16" s="32"/>
      <c r="S16" s="32"/>
      <c r="T16" s="15"/>
    </row>
    <row r="17" spans="2:20" ht="12.75" customHeight="1">
      <c r="B17" s="45"/>
      <c r="C17" s="45"/>
      <c r="D17" s="45"/>
      <c r="E17" s="46"/>
      <c r="F17" s="47"/>
      <c r="G17" s="47"/>
      <c r="H17" s="47"/>
      <c r="I17" s="47"/>
      <c r="J17" s="47"/>
      <c r="K17" s="47"/>
      <c r="L17" s="47"/>
      <c r="M17" s="47"/>
      <c r="N17" s="47"/>
      <c r="O17" s="47"/>
      <c r="P17" s="47"/>
      <c r="Q17" s="47"/>
      <c r="R17" s="32"/>
      <c r="S17" s="32"/>
      <c r="T17" s="15"/>
    </row>
    <row r="18" spans="2:20" ht="12.75" customHeight="1">
      <c r="B18" s="45" t="s">
        <v>97</v>
      </c>
      <c r="C18" s="45"/>
      <c r="D18" s="45"/>
      <c r="E18" s="46"/>
      <c r="F18" s="47"/>
      <c r="G18" s="47"/>
      <c r="H18" s="47"/>
      <c r="I18" s="47"/>
      <c r="J18" s="47"/>
      <c r="K18" s="47"/>
      <c r="L18" s="47"/>
      <c r="M18" s="47"/>
      <c r="N18" s="47"/>
      <c r="O18" s="47"/>
      <c r="P18" s="47"/>
      <c r="Q18" s="47"/>
      <c r="R18" s="32"/>
      <c r="S18" s="32"/>
      <c r="T18" s="15"/>
    </row>
    <row r="19" spans="2:20" ht="12.75" customHeight="1">
      <c r="B19" s="45"/>
      <c r="C19" s="45"/>
      <c r="D19" s="45"/>
      <c r="E19" s="46"/>
      <c r="F19" s="47"/>
      <c r="G19" s="47"/>
      <c r="H19" s="47"/>
      <c r="I19" s="47"/>
      <c r="J19" s="47"/>
      <c r="K19" s="47"/>
      <c r="L19" s="47"/>
      <c r="M19" s="47"/>
      <c r="N19" s="47"/>
      <c r="O19" s="47"/>
      <c r="P19" s="47"/>
      <c r="Q19" s="47"/>
      <c r="R19" s="32"/>
      <c r="S19" s="32"/>
      <c r="T19" s="15"/>
    </row>
    <row r="20" spans="2:20" ht="12.75" customHeight="1">
      <c r="B20" s="54" t="s">
        <v>101</v>
      </c>
      <c r="C20" s="45"/>
      <c r="D20" s="45"/>
      <c r="E20" s="46"/>
      <c r="F20" s="47"/>
      <c r="G20" s="47"/>
      <c r="H20" s="47"/>
      <c r="I20" s="47"/>
      <c r="J20" s="47"/>
      <c r="K20" s="47"/>
      <c r="L20" s="47"/>
      <c r="M20" s="47"/>
      <c r="N20" s="47"/>
      <c r="O20" s="47"/>
      <c r="P20" s="47"/>
      <c r="Q20" s="47"/>
      <c r="R20" s="32"/>
      <c r="S20" s="32"/>
      <c r="T20" s="15"/>
    </row>
    <row r="21" spans="2:20" ht="12.75" customHeight="1">
      <c r="B21" s="45"/>
      <c r="C21" s="45"/>
      <c r="D21" s="45"/>
      <c r="E21" s="46"/>
      <c r="F21" s="47"/>
      <c r="G21" s="47"/>
      <c r="H21" s="47"/>
      <c r="I21" s="47"/>
      <c r="J21" s="47"/>
      <c r="K21" s="47"/>
      <c r="L21" s="47"/>
      <c r="M21" s="47"/>
      <c r="N21" s="47"/>
      <c r="O21" s="47"/>
      <c r="P21" s="47"/>
      <c r="Q21" s="47"/>
      <c r="R21" s="32"/>
      <c r="S21" s="32"/>
      <c r="T21" s="15"/>
    </row>
    <row r="22" spans="2:20" ht="12.75" customHeight="1">
      <c r="B22" s="54" t="s">
        <v>102</v>
      </c>
      <c r="C22" s="45"/>
      <c r="D22" s="45"/>
      <c r="E22" s="46"/>
      <c r="F22" s="47"/>
      <c r="G22" s="47"/>
      <c r="H22" s="47"/>
      <c r="I22" s="47"/>
      <c r="J22" s="47"/>
      <c r="K22" s="47"/>
      <c r="L22" s="47"/>
      <c r="M22" s="47"/>
      <c r="N22" s="47"/>
      <c r="O22" s="47"/>
      <c r="P22" s="47"/>
      <c r="Q22" s="47"/>
      <c r="R22" s="32"/>
      <c r="S22" s="32"/>
      <c r="T22" s="15"/>
    </row>
    <row r="23" spans="2:20" ht="12.75" customHeight="1">
      <c r="B23" s="45"/>
      <c r="C23" s="45"/>
      <c r="D23" s="45"/>
      <c r="E23" s="46"/>
      <c r="F23" s="47"/>
      <c r="G23" s="47"/>
      <c r="H23" s="47"/>
      <c r="I23" s="47"/>
      <c r="J23" s="47"/>
      <c r="K23" s="47"/>
      <c r="L23" s="47"/>
      <c r="M23" s="47"/>
      <c r="N23" s="47"/>
      <c r="O23" s="47"/>
      <c r="P23" s="47"/>
      <c r="Q23" s="47"/>
      <c r="R23" s="32"/>
      <c r="S23" s="32"/>
      <c r="T23" s="15"/>
    </row>
    <row r="24" spans="2:20" ht="12.75" customHeight="1">
      <c r="B24" s="54" t="s">
        <v>89</v>
      </c>
      <c r="C24" s="45"/>
      <c r="D24" s="45"/>
      <c r="E24" s="46"/>
      <c r="F24" s="47"/>
      <c r="G24" s="47"/>
      <c r="H24" s="47"/>
      <c r="I24" s="47"/>
      <c r="J24" s="47"/>
      <c r="K24" s="47"/>
      <c r="L24" s="47"/>
      <c r="M24" s="47"/>
      <c r="N24" s="47"/>
      <c r="O24" s="47"/>
      <c r="P24" s="47"/>
      <c r="Q24" s="47"/>
      <c r="R24" s="32"/>
      <c r="S24" s="32"/>
      <c r="T24" s="15"/>
    </row>
    <row r="25" spans="2:20" ht="11.25" customHeight="1">
      <c r="B25" s="45" t="s">
        <v>90</v>
      </c>
      <c r="C25" s="30"/>
      <c r="D25" s="30"/>
      <c r="E25" s="31"/>
      <c r="F25" s="32"/>
      <c r="G25" s="32"/>
      <c r="H25" s="32"/>
      <c r="I25" s="32"/>
      <c r="J25" s="32"/>
      <c r="K25" s="32"/>
      <c r="L25" s="32"/>
      <c r="M25" s="32"/>
      <c r="N25" s="32"/>
      <c r="O25" s="32"/>
      <c r="P25" s="32"/>
      <c r="Q25" s="32"/>
      <c r="R25" s="32"/>
      <c r="S25" s="32"/>
      <c r="T25" s="15"/>
    </row>
    <row r="26" spans="2:20" ht="11.25" customHeight="1">
      <c r="B26" s="45" t="s">
        <v>91</v>
      </c>
      <c r="C26" s="30"/>
      <c r="D26" s="30"/>
      <c r="E26" s="31"/>
      <c r="F26" s="32"/>
      <c r="G26" s="32"/>
      <c r="H26" s="32"/>
      <c r="I26" s="32"/>
      <c r="J26" s="32"/>
      <c r="K26" s="32"/>
      <c r="L26" s="32"/>
      <c r="M26" s="32"/>
      <c r="N26" s="32"/>
      <c r="O26" s="32"/>
      <c r="P26" s="32"/>
      <c r="Q26" s="32"/>
      <c r="R26" s="32"/>
      <c r="S26" s="32"/>
      <c r="T26" s="15"/>
    </row>
    <row r="27" spans="2:20" ht="11.25" customHeight="1">
      <c r="B27" s="45" t="s">
        <v>92</v>
      </c>
      <c r="C27" s="30"/>
      <c r="D27" s="30"/>
      <c r="E27" s="31"/>
      <c r="F27" s="32"/>
      <c r="G27" s="32"/>
      <c r="H27" s="32"/>
      <c r="I27" s="32"/>
      <c r="J27" s="32"/>
      <c r="K27" s="32"/>
      <c r="L27" s="32"/>
      <c r="M27" s="32"/>
      <c r="N27" s="32"/>
      <c r="O27" s="32"/>
      <c r="P27" s="32"/>
      <c r="Q27" s="32"/>
      <c r="R27" s="32"/>
      <c r="S27" s="32"/>
      <c r="T27" s="15"/>
    </row>
    <row r="28" spans="2:20" ht="11.25" customHeight="1">
      <c r="B28" s="45"/>
      <c r="C28" s="30"/>
      <c r="D28" s="30"/>
      <c r="E28" s="31"/>
      <c r="F28" s="32"/>
      <c r="G28" s="32"/>
      <c r="H28" s="32"/>
      <c r="I28" s="32"/>
      <c r="J28" s="32"/>
      <c r="K28" s="32"/>
      <c r="L28" s="32"/>
      <c r="M28" s="32"/>
      <c r="N28" s="32"/>
      <c r="O28" s="32"/>
      <c r="P28" s="32"/>
      <c r="Q28" s="32"/>
      <c r="R28" s="32"/>
      <c r="S28" s="32"/>
      <c r="T28" s="15"/>
    </row>
    <row r="29" spans="2:20" ht="11.25" customHeight="1">
      <c r="B29" s="45"/>
      <c r="C29" s="30"/>
      <c r="D29" s="30"/>
      <c r="E29" s="31"/>
      <c r="F29" s="32"/>
      <c r="G29" s="32"/>
      <c r="H29" s="32"/>
      <c r="I29" s="32"/>
      <c r="J29" s="32"/>
      <c r="K29" s="32"/>
      <c r="L29" s="32"/>
      <c r="M29" s="32"/>
      <c r="N29" s="32"/>
      <c r="O29" s="32"/>
      <c r="P29" s="32"/>
      <c r="Q29" s="32"/>
      <c r="R29" s="32"/>
      <c r="S29" s="32"/>
      <c r="T29" s="15"/>
    </row>
    <row r="30" spans="2:20" ht="11.25" customHeight="1">
      <c r="B30" s="45" t="s">
        <v>93</v>
      </c>
      <c r="C30" s="30"/>
      <c r="D30" s="30"/>
      <c r="E30" s="31"/>
      <c r="F30" s="32"/>
      <c r="G30" s="32"/>
      <c r="H30" s="32"/>
      <c r="I30" s="32"/>
      <c r="J30" s="32"/>
      <c r="K30" s="32"/>
      <c r="L30" s="32"/>
      <c r="M30" s="32"/>
      <c r="N30" s="32"/>
      <c r="O30" s="32"/>
      <c r="P30" s="32"/>
      <c r="Q30" s="32"/>
      <c r="R30" s="32"/>
      <c r="S30" s="32"/>
      <c r="T30" s="15"/>
    </row>
    <row r="31" spans="2:20" ht="11.25" customHeight="1">
      <c r="B31" s="45"/>
      <c r="C31" s="30"/>
      <c r="D31" s="30"/>
      <c r="E31" s="31"/>
      <c r="F31" s="32"/>
      <c r="G31" s="32"/>
      <c r="H31" s="32"/>
      <c r="I31" s="32"/>
      <c r="J31" s="32"/>
      <c r="K31" s="32"/>
      <c r="L31" s="32"/>
      <c r="M31" s="32"/>
      <c r="N31" s="32"/>
      <c r="O31" s="32"/>
      <c r="P31" s="32"/>
      <c r="Q31" s="32"/>
      <c r="R31" s="32"/>
      <c r="S31" s="32"/>
      <c r="T31" s="15"/>
    </row>
    <row r="32" spans="2:20" ht="12.75" customHeight="1">
      <c r="B32" s="30"/>
      <c r="C32" s="30"/>
      <c r="D32" s="30"/>
      <c r="E32" s="31"/>
      <c r="F32" s="32"/>
      <c r="G32" s="32"/>
      <c r="H32" s="32"/>
      <c r="I32" s="32"/>
      <c r="J32" s="32"/>
      <c r="K32" s="32"/>
      <c r="L32" s="32"/>
      <c r="M32" s="32"/>
      <c r="N32" s="32"/>
      <c r="O32" s="32"/>
      <c r="P32" s="32"/>
      <c r="Q32" s="32"/>
      <c r="R32" s="32"/>
      <c r="S32" s="32"/>
      <c r="T32" s="15"/>
    </row>
    <row r="33" spans="2:20" ht="12" customHeight="1">
      <c r="B33" s="14" t="s">
        <v>66</v>
      </c>
      <c r="D33" s="55" t="s">
        <v>106</v>
      </c>
      <c r="E33" s="16" t="s">
        <v>67</v>
      </c>
      <c r="F33" s="16"/>
      <c r="G33" s="16"/>
      <c r="H33" s="56"/>
      <c r="I33" s="56"/>
      <c r="J33" s="56"/>
      <c r="K33" s="56"/>
      <c r="L33" s="56"/>
      <c r="M33" s="56"/>
      <c r="N33" s="16" t="s">
        <v>68</v>
      </c>
      <c r="O33" s="56"/>
      <c r="P33" s="16" t="s">
        <v>69</v>
      </c>
      <c r="Q33" s="56"/>
      <c r="R33" s="56"/>
      <c r="S33" s="16"/>
      <c r="T33" s="16"/>
    </row>
    <row r="34" spans="2:20" ht="12" customHeight="1">
      <c r="B34" s="14" t="s">
        <v>70</v>
      </c>
      <c r="D34" s="55"/>
      <c r="E34" s="16" t="s">
        <v>72</v>
      </c>
      <c r="F34" s="16"/>
      <c r="G34" s="16"/>
      <c r="H34" s="56"/>
      <c r="I34" s="56"/>
      <c r="J34" s="56"/>
      <c r="K34" s="56"/>
      <c r="L34" s="56"/>
      <c r="M34" s="56"/>
      <c r="N34" s="16" t="s">
        <v>73</v>
      </c>
      <c r="O34" s="56"/>
      <c r="P34" s="16"/>
      <c r="Q34" s="56"/>
      <c r="R34" s="56"/>
      <c r="S34" s="16"/>
      <c r="T34" s="16"/>
    </row>
    <row r="35" spans="2:20" ht="12" customHeight="1">
      <c r="B35" s="14" t="s">
        <v>71</v>
      </c>
      <c r="D35" s="55"/>
      <c r="E35" s="16" t="s">
        <v>67</v>
      </c>
      <c r="F35" s="16"/>
      <c r="G35" s="16"/>
      <c r="H35" s="56"/>
      <c r="I35" s="56"/>
      <c r="J35" s="56"/>
      <c r="K35" s="56"/>
      <c r="L35" s="56"/>
      <c r="M35" s="56"/>
      <c r="N35" s="16" t="s">
        <v>68</v>
      </c>
      <c r="O35" s="56"/>
      <c r="P35" s="16" t="s">
        <v>69</v>
      </c>
      <c r="Q35" s="56"/>
      <c r="R35" s="56"/>
      <c r="S35" s="16"/>
      <c r="T35" s="16"/>
    </row>
    <row r="36" spans="2:20" ht="12" customHeight="1">
      <c r="B36" s="14" t="s">
        <v>70</v>
      </c>
      <c r="D36" s="55"/>
      <c r="E36" s="16" t="s">
        <v>72</v>
      </c>
      <c r="F36" s="16"/>
      <c r="G36" s="16"/>
      <c r="H36" s="56"/>
      <c r="I36" s="56"/>
      <c r="J36" s="56"/>
      <c r="K36" s="56"/>
      <c r="L36" s="56"/>
      <c r="M36" s="56"/>
      <c r="N36" s="16" t="s">
        <v>73</v>
      </c>
      <c r="O36" s="56"/>
      <c r="P36" s="16"/>
      <c r="Q36" s="16"/>
      <c r="R36" s="16"/>
      <c r="S36" s="16"/>
      <c r="T36" s="16"/>
    </row>
    <row r="37" spans="5:20" ht="12" customHeight="1">
      <c r="E37" s="16"/>
      <c r="F37" s="16"/>
      <c r="G37" s="16"/>
      <c r="H37" s="16"/>
      <c r="I37" s="16"/>
      <c r="J37" s="16"/>
      <c r="K37" s="16"/>
      <c r="L37" s="16"/>
      <c r="M37" s="16"/>
      <c r="N37" s="16"/>
      <c r="O37" s="16"/>
      <c r="P37" s="16"/>
      <c r="Q37" s="16"/>
      <c r="R37" s="16"/>
      <c r="S37" s="16"/>
      <c r="T37" s="16"/>
    </row>
    <row r="38" spans="5:20" ht="12" customHeight="1">
      <c r="E38" s="16"/>
      <c r="F38" s="16"/>
      <c r="G38" s="16"/>
      <c r="H38" s="16"/>
      <c r="I38" s="16"/>
      <c r="J38" s="16"/>
      <c r="K38" s="16"/>
      <c r="L38" s="16"/>
      <c r="M38" s="16"/>
      <c r="N38" s="16"/>
      <c r="O38" s="16"/>
      <c r="P38" s="16"/>
      <c r="Q38" s="16"/>
      <c r="R38" s="16"/>
      <c r="S38" s="16"/>
      <c r="T38" s="16"/>
    </row>
    <row r="39" spans="3:20" ht="13.5" customHeight="1">
      <c r="C39" s="33" t="s">
        <v>65</v>
      </c>
      <c r="D39" s="34"/>
      <c r="E39" s="34"/>
      <c r="F39" s="17"/>
      <c r="G39" s="17"/>
      <c r="H39" s="17"/>
      <c r="I39" s="17"/>
      <c r="J39" s="17"/>
      <c r="K39" s="17"/>
      <c r="L39" s="17"/>
      <c r="M39" s="17"/>
      <c r="N39" s="17"/>
      <c r="O39" s="17"/>
      <c r="P39" s="17"/>
      <c r="Q39" s="17"/>
      <c r="R39" s="35" t="s">
        <v>48</v>
      </c>
      <c r="S39" s="17"/>
      <c r="T39" s="1"/>
    </row>
    <row r="40" spans="3:20" ht="12" customHeight="1">
      <c r="C40" s="17" t="s">
        <v>0</v>
      </c>
      <c r="D40" s="17"/>
      <c r="E40" s="17"/>
      <c r="F40" s="17"/>
      <c r="I40" s="60">
        <f>IF(AND(ISNUMBER($T40),ISNUMBER($T41),ISNUMBER($T42),ISNUMBER($T43)),$I41*12,"")</f>
        <v>3171.6000000000004</v>
      </c>
      <c r="J40" s="2"/>
      <c r="K40" s="2"/>
      <c r="L40" s="2"/>
      <c r="P40" s="17"/>
      <c r="Q40" s="17"/>
      <c r="R40" s="17" t="s">
        <v>1</v>
      </c>
      <c r="S40" s="17"/>
      <c r="T40" s="48">
        <v>20000</v>
      </c>
    </row>
    <row r="41" spans="3:20" ht="12" customHeight="1">
      <c r="C41" s="17" t="s">
        <v>2</v>
      </c>
      <c r="D41" s="17"/>
      <c r="E41" s="17"/>
      <c r="F41" s="17"/>
      <c r="I41" s="60">
        <f>IF(AND(ISNUMBER($T40),ISNUMBER($T41),ISNUMBER($T42),ISNUMBER($T43)),ROUND(PMT($T41/12,$AA360,-$T40),2),"")</f>
        <v>264.3</v>
      </c>
      <c r="J41" s="2"/>
      <c r="K41" s="2"/>
      <c r="L41" s="2"/>
      <c r="P41" s="17"/>
      <c r="Q41" s="17"/>
      <c r="R41" s="17" t="s">
        <v>3</v>
      </c>
      <c r="S41" s="17"/>
      <c r="T41" s="49">
        <v>0.1</v>
      </c>
    </row>
    <row r="42" spans="3:22" ht="12" customHeight="1">
      <c r="C42" s="17" t="s">
        <v>4</v>
      </c>
      <c r="D42" s="17"/>
      <c r="E42" s="17"/>
      <c r="F42" s="17"/>
      <c r="I42" s="60">
        <f>IF(AND(ISNUMBER($T40),ISNUMBER($T41),ISNUMBER($T42),ISNUMBER($T43)),VLOOKUP("Dec",$F53:$T64,7,0),"")</f>
        <v>314.3</v>
      </c>
      <c r="J42" s="2"/>
      <c r="K42" s="2"/>
      <c r="L42" s="2"/>
      <c r="P42" s="17"/>
      <c r="Q42" s="17"/>
      <c r="R42" s="17" t="s">
        <v>51</v>
      </c>
      <c r="S42" s="17"/>
      <c r="T42" s="50">
        <v>10</v>
      </c>
      <c r="V42" s="14" t="s">
        <v>50</v>
      </c>
    </row>
    <row r="43" spans="3:20" ht="12" customHeight="1">
      <c r="C43" s="17" t="s">
        <v>5</v>
      </c>
      <c r="D43" s="17"/>
      <c r="E43" s="17"/>
      <c r="F43" s="17"/>
      <c r="I43" s="60">
        <f>IF(AND(ISNUMBER($T40),ISNUMBER($T41),ISNUMBER($T42),ISNUMBER($T43)),MAX($S64,$S179:$S208),"")</f>
        <v>11716.000000000004</v>
      </c>
      <c r="J43" s="2"/>
      <c r="K43" s="2"/>
      <c r="L43" s="2"/>
      <c r="P43" s="17"/>
      <c r="Q43" s="17"/>
      <c r="R43" s="17" t="s">
        <v>47</v>
      </c>
      <c r="S43" s="17"/>
      <c r="T43" s="51">
        <v>2004</v>
      </c>
    </row>
    <row r="44" spans="3:20" ht="12" customHeight="1">
      <c r="C44" s="17" t="s">
        <v>6</v>
      </c>
      <c r="D44" s="17"/>
      <c r="E44" s="17"/>
      <c r="F44" s="17"/>
      <c r="I44" s="60">
        <f>IF(AND(ISNUMBER($T40),ISNUMBER($T41),ISNUMBER($T42),ISNUMBER($T43)),$I43+$T40,"")</f>
        <v>31716.000000000004</v>
      </c>
      <c r="J44" s="2"/>
      <c r="K44" s="2"/>
      <c r="L44" s="2"/>
      <c r="P44" s="17"/>
      <c r="Q44" s="17"/>
      <c r="R44" s="17" t="s">
        <v>46</v>
      </c>
      <c r="S44" s="17"/>
      <c r="T44" s="52" t="s">
        <v>86</v>
      </c>
    </row>
    <row r="45" spans="5:20" ht="12" customHeight="1">
      <c r="E45" s="17"/>
      <c r="F45" s="17"/>
      <c r="G45" s="17"/>
      <c r="H45" s="17"/>
      <c r="I45" s="17"/>
      <c r="J45" s="17"/>
      <c r="K45" s="17"/>
      <c r="L45" s="17"/>
      <c r="M45" s="17"/>
      <c r="N45" s="17"/>
      <c r="O45" s="17"/>
      <c r="P45" s="17"/>
      <c r="Q45" s="17"/>
      <c r="R45" s="17" t="s">
        <v>45</v>
      </c>
      <c r="S45" s="17"/>
      <c r="T45" s="57">
        <v>1</v>
      </c>
    </row>
    <row r="46" spans="5:20" ht="12" customHeight="1">
      <c r="E46" s="17"/>
      <c r="F46" s="17"/>
      <c r="G46" s="17"/>
      <c r="H46" s="17"/>
      <c r="I46" s="17"/>
      <c r="J46" s="17"/>
      <c r="K46" s="17"/>
      <c r="L46" s="17"/>
      <c r="M46" s="17"/>
      <c r="N46" s="17"/>
      <c r="O46" s="17"/>
      <c r="P46" s="17"/>
      <c r="Q46" s="17"/>
      <c r="R46" s="17" t="s">
        <v>58</v>
      </c>
      <c r="S46" s="17"/>
      <c r="T46" s="58">
        <v>30.62</v>
      </c>
    </row>
    <row r="47" spans="2:20" ht="12" customHeight="1">
      <c r="B47" s="35" t="s">
        <v>74</v>
      </c>
      <c r="E47" s="17"/>
      <c r="F47" s="17"/>
      <c r="G47" s="17"/>
      <c r="H47" s="17"/>
      <c r="I47" s="17"/>
      <c r="J47" s="17"/>
      <c r="K47" s="17"/>
      <c r="L47" s="17"/>
      <c r="M47" s="17"/>
      <c r="N47" s="17"/>
      <c r="O47" s="17"/>
      <c r="P47" s="17"/>
      <c r="Q47" s="17"/>
      <c r="R47" s="17" t="s">
        <v>59</v>
      </c>
      <c r="S47" s="17"/>
      <c r="T47" s="57">
        <v>12</v>
      </c>
    </row>
    <row r="48" spans="5:20" ht="12" customHeight="1">
      <c r="E48" s="17"/>
      <c r="F48" s="17"/>
      <c r="G48" s="17"/>
      <c r="H48" s="17"/>
      <c r="I48" s="17"/>
      <c r="J48" s="17"/>
      <c r="K48" s="17"/>
      <c r="L48" s="17"/>
      <c r="M48" s="17"/>
      <c r="N48" s="17"/>
      <c r="O48" s="17"/>
      <c r="P48" s="17"/>
      <c r="Q48" s="17"/>
      <c r="R48" s="17" t="s">
        <v>64</v>
      </c>
      <c r="S48" s="17"/>
      <c r="T48" s="58">
        <v>50</v>
      </c>
    </row>
    <row r="49" spans="6:20" ht="13.5" customHeight="1">
      <c r="F49" s="17"/>
      <c r="G49" s="17"/>
      <c r="H49" s="17"/>
      <c r="I49" s="17"/>
      <c r="J49" s="17"/>
      <c r="K49" s="17"/>
      <c r="L49" s="17"/>
      <c r="M49" s="1"/>
      <c r="N49" s="1"/>
      <c r="O49" s="1"/>
      <c r="P49" s="17"/>
      <c r="Q49" s="17"/>
      <c r="R49" s="17"/>
      <c r="S49" s="17"/>
      <c r="T49" s="17"/>
    </row>
    <row r="50" spans="2:25" ht="11.25" customHeight="1">
      <c r="B50" s="19" t="s">
        <v>54</v>
      </c>
      <c r="C50" s="19" t="s">
        <v>54</v>
      </c>
      <c r="D50" s="19" t="s">
        <v>54</v>
      </c>
      <c r="E50" s="20" t="s">
        <v>52</v>
      </c>
      <c r="F50" s="21" t="s">
        <v>52</v>
      </c>
      <c r="G50" s="21" t="s">
        <v>52</v>
      </c>
      <c r="H50" s="21" t="s">
        <v>55</v>
      </c>
      <c r="I50" s="22" t="s">
        <v>7</v>
      </c>
      <c r="J50" s="22" t="s">
        <v>87</v>
      </c>
      <c r="K50" s="22" t="s">
        <v>95</v>
      </c>
      <c r="L50" s="22" t="s">
        <v>87</v>
      </c>
      <c r="M50" s="23" t="s">
        <v>60</v>
      </c>
      <c r="N50" s="23" t="s">
        <v>63</v>
      </c>
      <c r="O50" s="23" t="s">
        <v>56</v>
      </c>
      <c r="P50" s="23"/>
      <c r="Q50" s="23"/>
      <c r="R50" s="22" t="s">
        <v>8</v>
      </c>
      <c r="S50" s="22" t="s">
        <v>8</v>
      </c>
      <c r="T50" s="24" t="s">
        <v>9</v>
      </c>
      <c r="V50" s="37" t="s">
        <v>75</v>
      </c>
      <c r="W50" s="37" t="s">
        <v>76</v>
      </c>
      <c r="X50" s="38" t="s">
        <v>78</v>
      </c>
      <c r="Y50" s="38" t="s">
        <v>79</v>
      </c>
    </row>
    <row r="51" spans="2:25" ht="11.25" customHeight="1">
      <c r="B51" s="19" t="s">
        <v>10</v>
      </c>
      <c r="C51" s="19" t="s">
        <v>11</v>
      </c>
      <c r="D51" s="19" t="s">
        <v>53</v>
      </c>
      <c r="E51" s="25" t="s">
        <v>10</v>
      </c>
      <c r="F51" s="26" t="s">
        <v>11</v>
      </c>
      <c r="G51" s="27" t="s">
        <v>53</v>
      </c>
      <c r="H51" s="27" t="s">
        <v>56</v>
      </c>
      <c r="I51" s="28" t="s">
        <v>12</v>
      </c>
      <c r="J51" s="28" t="s">
        <v>52</v>
      </c>
      <c r="K51" s="28" t="s">
        <v>52</v>
      </c>
      <c r="L51" s="28" t="s">
        <v>52</v>
      </c>
      <c r="M51" s="28" t="s">
        <v>61</v>
      </c>
      <c r="N51" s="28" t="s">
        <v>62</v>
      </c>
      <c r="O51" s="28" t="s">
        <v>57</v>
      </c>
      <c r="P51" s="28" t="s">
        <v>13</v>
      </c>
      <c r="Q51" s="28" t="s">
        <v>14</v>
      </c>
      <c r="R51" s="28" t="s">
        <v>13</v>
      </c>
      <c r="S51" s="28" t="s">
        <v>14</v>
      </c>
      <c r="T51" s="29" t="s">
        <v>12</v>
      </c>
      <c r="V51" s="39" t="s">
        <v>62</v>
      </c>
      <c r="W51" s="39" t="s">
        <v>77</v>
      </c>
      <c r="X51" s="39" t="s">
        <v>77</v>
      </c>
      <c r="Y51" s="39" t="s">
        <v>77</v>
      </c>
    </row>
    <row r="52" spans="2:25" ht="11.25" customHeight="1">
      <c r="B52" s="19"/>
      <c r="C52" s="19" t="s">
        <v>81</v>
      </c>
      <c r="D52" s="19"/>
      <c r="E52" s="40"/>
      <c r="F52" s="40"/>
      <c r="G52" s="41"/>
      <c r="H52" s="41"/>
      <c r="I52" s="36"/>
      <c r="J52" s="36"/>
      <c r="K52" s="36" t="s">
        <v>96</v>
      </c>
      <c r="L52" s="36" t="s">
        <v>80</v>
      </c>
      <c r="M52" s="36" t="s">
        <v>80</v>
      </c>
      <c r="N52" s="36"/>
      <c r="O52" s="36"/>
      <c r="P52" s="36"/>
      <c r="Q52" s="36"/>
      <c r="R52" s="36"/>
      <c r="S52" s="36"/>
      <c r="T52" s="42"/>
      <c r="V52" s="39"/>
      <c r="W52" s="39"/>
      <c r="X52" s="39"/>
      <c r="Y52" s="39" t="s">
        <v>94</v>
      </c>
    </row>
    <row r="53" spans="2:31" ht="11.25" customHeight="1">
      <c r="B53" s="59">
        <f>E53</f>
        <v>2004</v>
      </c>
      <c r="C53" s="57">
        <f>VLOOKUP(Y$344,W$344:$X$355,1)</f>
        <v>1</v>
      </c>
      <c r="D53" s="55">
        <f>G53</f>
        <v>1</v>
      </c>
      <c r="E53" s="61">
        <f>T43</f>
        <v>2004</v>
      </c>
      <c r="F53" s="62" t="str">
        <f>VLOOKUP(Y344,W344:X355,2)</f>
        <v>Jan</v>
      </c>
      <c r="G53" s="63">
        <f aca="true" t="shared" si="0" ref="G53:G84">$T$45</f>
        <v>1</v>
      </c>
      <c r="H53" s="63">
        <f>AE53-AD53</f>
        <v>0</v>
      </c>
      <c r="I53" s="64">
        <f>IF(ISTEXT(I40),"",T40)</f>
        <v>20000</v>
      </c>
      <c r="J53" s="64">
        <f>IF(ISTEXT(I$41),"",I$41)</f>
        <v>264.3</v>
      </c>
      <c r="K53" s="73">
        <f>+$T$48</f>
        <v>50</v>
      </c>
      <c r="L53" s="64">
        <f>J53+K53</f>
        <v>314.3</v>
      </c>
      <c r="M53" s="66">
        <f>L53</f>
        <v>314.3</v>
      </c>
      <c r="N53" s="66">
        <f>K53</f>
        <v>50</v>
      </c>
      <c r="O53" s="67">
        <f>IF(H53&gt;$T$47,$T$46,0)</f>
        <v>0</v>
      </c>
      <c r="P53" s="64">
        <f>IF(ISTEXT(I$40),"",M53-Q53-O53-N53)</f>
        <v>97.63000000000002</v>
      </c>
      <c r="Q53" s="64">
        <f aca="true" t="shared" si="1" ref="Q53:Q84">IF(ISTEXT(I$40),"",ROUND(I53*(T$41/12),2))</f>
        <v>166.67</v>
      </c>
      <c r="R53" s="64">
        <f>IF(ISTEXT($I$40),"",SUM(P$53:P53))</f>
        <v>97.63000000000002</v>
      </c>
      <c r="S53" s="64">
        <f>IF(ISTEXT($I$40),"",SUM(Q$53:Q53))</f>
        <v>166.67</v>
      </c>
      <c r="T53" s="64">
        <f aca="true" t="shared" si="2" ref="T53:T84">IF(ISTEXT(I$40),"",I53-P53)</f>
        <v>19902.37</v>
      </c>
      <c r="V53" s="68">
        <f>N53-Y53</f>
        <v>50</v>
      </c>
      <c r="W53" s="55"/>
      <c r="X53" s="55"/>
      <c r="Y53" s="55"/>
      <c r="AC53" s="62">
        <f>VLOOKUP(Y$344,W$344:X$355,1)</f>
        <v>1</v>
      </c>
      <c r="AD53" s="69">
        <f>DATE(E53,AC53,G53)</f>
        <v>37987</v>
      </c>
      <c r="AE53" s="69">
        <f>DATE(B53,C53,D53)</f>
        <v>37987</v>
      </c>
    </row>
    <row r="54" spans="2:31" ht="11.25" customHeight="1">
      <c r="B54" s="59">
        <f aca="true" t="shared" si="3" ref="B54:B117">E54</f>
        <v>2004</v>
      </c>
      <c r="C54" s="57">
        <f>VLOOKUP(Y$345,W$344:$X$355,1)</f>
        <v>2</v>
      </c>
      <c r="D54" s="55">
        <f aca="true" t="shared" si="4" ref="D54:D117">G54</f>
        <v>1</v>
      </c>
      <c r="E54" s="61">
        <f>IF(Y345=1,T43+1,E53)</f>
        <v>2004</v>
      </c>
      <c r="F54" s="62" t="str">
        <f>VLOOKUP(Y345,W344:X355,2)</f>
        <v>Feb</v>
      </c>
      <c r="G54" s="63">
        <f t="shared" si="0"/>
        <v>1</v>
      </c>
      <c r="H54" s="63">
        <f aca="true" t="shared" si="5" ref="H54:H117">AE54-AD54</f>
        <v>0</v>
      </c>
      <c r="I54" s="64">
        <f aca="true" t="shared" si="6" ref="I54:I85">IF(ISTEXT(I$40),"",T53)</f>
        <v>19902.37</v>
      </c>
      <c r="J54" s="64">
        <f>IF(ISTEXT(I$41),"",I$41)+(O53+(L53-M53))</f>
        <v>264.3</v>
      </c>
      <c r="K54" s="73">
        <f>K53</f>
        <v>50</v>
      </c>
      <c r="L54" s="64">
        <f aca="true" t="shared" si="7" ref="L54:L117">J54+K54</f>
        <v>314.3</v>
      </c>
      <c r="M54" s="66">
        <f aca="true" t="shared" si="8" ref="M54:M117">L54</f>
        <v>314.3</v>
      </c>
      <c r="N54" s="66">
        <f aca="true" t="shared" si="9" ref="N54:N117">K54</f>
        <v>50</v>
      </c>
      <c r="O54" s="67">
        <f aca="true" t="shared" si="10" ref="O54:O117">IF(H54&gt;$T$47,$T$46,0)</f>
        <v>0</v>
      </c>
      <c r="P54" s="64">
        <f aca="true" t="shared" si="11" ref="P54:P117">IF(ISTEXT(I$40),"",M54-Q54-O54-N54)</f>
        <v>98.45000000000002</v>
      </c>
      <c r="Q54" s="64">
        <f t="shared" si="1"/>
        <v>165.85</v>
      </c>
      <c r="R54" s="64">
        <f>IF(ISTEXT($I$40),"",SUM(P$53:P54))</f>
        <v>196.08000000000004</v>
      </c>
      <c r="S54" s="64">
        <f>IF(ISTEXT($I$40),"",SUM(Q$53:Q54))</f>
        <v>332.52</v>
      </c>
      <c r="T54" s="64">
        <f t="shared" si="2"/>
        <v>19803.92</v>
      </c>
      <c r="V54" s="68">
        <f>N54+V53-Y54</f>
        <v>100</v>
      </c>
      <c r="W54" s="55"/>
      <c r="X54" s="55"/>
      <c r="Y54" s="55"/>
      <c r="AC54" s="62">
        <f>VLOOKUP(Y$345,W$344:X$355,1)</f>
        <v>2</v>
      </c>
      <c r="AD54" s="69">
        <f aca="true" t="shared" si="12" ref="AD54:AD117">DATE(E54,AC54,G54)</f>
        <v>38018</v>
      </c>
      <c r="AE54" s="69">
        <f aca="true" t="shared" si="13" ref="AE54:AE117">DATE(B54,C54,D54)</f>
        <v>38018</v>
      </c>
    </row>
    <row r="55" spans="2:31" ht="11.25" customHeight="1">
      <c r="B55" s="59">
        <f t="shared" si="3"/>
        <v>2004</v>
      </c>
      <c r="C55" s="57">
        <f>VLOOKUP(Y$346,W$344:$X$355,1)</f>
        <v>3</v>
      </c>
      <c r="D55" s="55">
        <f t="shared" si="4"/>
        <v>1</v>
      </c>
      <c r="E55" s="61">
        <f>IF(Y346=1,T43+1,E54)</f>
        <v>2004</v>
      </c>
      <c r="F55" s="62" t="str">
        <f>VLOOKUP(Y346,W344:X355,2)</f>
        <v>Mar</v>
      </c>
      <c r="G55" s="63">
        <f t="shared" si="0"/>
        <v>1</v>
      </c>
      <c r="H55" s="63">
        <f t="shared" si="5"/>
        <v>0</v>
      </c>
      <c r="I55" s="64">
        <f t="shared" si="6"/>
        <v>19803.92</v>
      </c>
      <c r="J55" s="64">
        <f aca="true" t="shared" si="14" ref="J55:J118">IF(ISTEXT(I$41),"",I$41)+(O54+(L54-M54))</f>
        <v>264.3</v>
      </c>
      <c r="K55" s="73">
        <f aca="true" t="shared" si="15" ref="K55:K118">K54</f>
        <v>50</v>
      </c>
      <c r="L55" s="64">
        <f t="shared" si="7"/>
        <v>314.3</v>
      </c>
      <c r="M55" s="66">
        <f t="shared" si="8"/>
        <v>314.3</v>
      </c>
      <c r="N55" s="66">
        <f t="shared" si="9"/>
        <v>50</v>
      </c>
      <c r="O55" s="67">
        <f t="shared" si="10"/>
        <v>0</v>
      </c>
      <c r="P55" s="64">
        <f t="shared" si="11"/>
        <v>99.27000000000001</v>
      </c>
      <c r="Q55" s="64">
        <f t="shared" si="1"/>
        <v>165.03</v>
      </c>
      <c r="R55" s="64">
        <f>IF(ISTEXT($I$40),"",SUM(P$53:P55))</f>
        <v>295.35</v>
      </c>
      <c r="S55" s="64">
        <f>IF(ISTEXT($I$40),"",SUM(Q$53:Q55))</f>
        <v>497.54999999999995</v>
      </c>
      <c r="T55" s="64">
        <f t="shared" si="2"/>
        <v>19704.649999999998</v>
      </c>
      <c r="V55" s="68">
        <f aca="true" t="shared" si="16" ref="V55:V118">N55+V54-Y55</f>
        <v>150</v>
      </c>
      <c r="W55" s="55"/>
      <c r="X55" s="55"/>
      <c r="Y55" s="55"/>
      <c r="AC55" s="62">
        <f>VLOOKUP(Y$346,W$344:X$355,1)</f>
        <v>3</v>
      </c>
      <c r="AD55" s="69">
        <f t="shared" si="12"/>
        <v>38047</v>
      </c>
      <c r="AE55" s="69">
        <f t="shared" si="13"/>
        <v>38047</v>
      </c>
    </row>
    <row r="56" spans="2:31" ht="11.25" customHeight="1">
      <c r="B56" s="59">
        <f t="shared" si="3"/>
        <v>2004</v>
      </c>
      <c r="C56" s="57">
        <f>VLOOKUP(Y$347,W$344:$X$355,1)</f>
        <v>4</v>
      </c>
      <c r="D56" s="55">
        <f t="shared" si="4"/>
        <v>1</v>
      </c>
      <c r="E56" s="61">
        <f>IF(Y347=1,T43+1,E55)</f>
        <v>2004</v>
      </c>
      <c r="F56" s="62" t="str">
        <f>VLOOKUP(Y347,W344:X355,2)</f>
        <v>Apr</v>
      </c>
      <c r="G56" s="63">
        <f t="shared" si="0"/>
        <v>1</v>
      </c>
      <c r="H56" s="63">
        <f t="shared" si="5"/>
        <v>0</v>
      </c>
      <c r="I56" s="64">
        <f t="shared" si="6"/>
        <v>19704.649999999998</v>
      </c>
      <c r="J56" s="64">
        <f t="shared" si="14"/>
        <v>264.3</v>
      </c>
      <c r="K56" s="73">
        <f t="shared" si="15"/>
        <v>50</v>
      </c>
      <c r="L56" s="64">
        <f t="shared" si="7"/>
        <v>314.3</v>
      </c>
      <c r="M56" s="66">
        <f t="shared" si="8"/>
        <v>314.3</v>
      </c>
      <c r="N56" s="66">
        <f t="shared" si="9"/>
        <v>50</v>
      </c>
      <c r="O56" s="67">
        <f t="shared" si="10"/>
        <v>0</v>
      </c>
      <c r="P56" s="64">
        <f t="shared" si="11"/>
        <v>100.09</v>
      </c>
      <c r="Q56" s="64">
        <f t="shared" si="1"/>
        <v>164.21</v>
      </c>
      <c r="R56" s="64">
        <f>IF(ISTEXT($I$40),"",SUM(P$53:P56))</f>
        <v>395.44000000000005</v>
      </c>
      <c r="S56" s="64">
        <f>IF(ISTEXT($I$40),"",SUM(Q$53:Q56))</f>
        <v>661.76</v>
      </c>
      <c r="T56" s="64">
        <f t="shared" si="2"/>
        <v>19604.559999999998</v>
      </c>
      <c r="V56" s="68">
        <f t="shared" si="16"/>
        <v>200</v>
      </c>
      <c r="W56" s="55"/>
      <c r="X56" s="55"/>
      <c r="Y56" s="55"/>
      <c r="AC56" s="62">
        <f>VLOOKUP(Y$347,W$344:X$355,1)</f>
        <v>4</v>
      </c>
      <c r="AD56" s="69">
        <f t="shared" si="12"/>
        <v>38078</v>
      </c>
      <c r="AE56" s="69">
        <f t="shared" si="13"/>
        <v>38078</v>
      </c>
    </row>
    <row r="57" spans="2:31" ht="11.25" customHeight="1">
      <c r="B57" s="59">
        <f t="shared" si="3"/>
        <v>2004</v>
      </c>
      <c r="C57" s="57">
        <f>VLOOKUP(Y$348,W$344:$X$355,1)</f>
        <v>5</v>
      </c>
      <c r="D57" s="55">
        <f t="shared" si="4"/>
        <v>1</v>
      </c>
      <c r="E57" s="61">
        <f>IF(Y348=1,T43+1,E56)</f>
        <v>2004</v>
      </c>
      <c r="F57" s="62" t="str">
        <f>VLOOKUP(Y348,W344:X355,2)</f>
        <v>May</v>
      </c>
      <c r="G57" s="63">
        <f t="shared" si="0"/>
        <v>1</v>
      </c>
      <c r="H57" s="63">
        <f t="shared" si="5"/>
        <v>0</v>
      </c>
      <c r="I57" s="64">
        <f t="shared" si="6"/>
        <v>19604.559999999998</v>
      </c>
      <c r="J57" s="64">
        <f t="shared" si="14"/>
        <v>264.3</v>
      </c>
      <c r="K57" s="73">
        <f t="shared" si="15"/>
        <v>50</v>
      </c>
      <c r="L57" s="64">
        <f t="shared" si="7"/>
        <v>314.3</v>
      </c>
      <c r="M57" s="66">
        <f t="shared" si="8"/>
        <v>314.3</v>
      </c>
      <c r="N57" s="66">
        <f t="shared" si="9"/>
        <v>50</v>
      </c>
      <c r="O57" s="67">
        <f t="shared" si="10"/>
        <v>0</v>
      </c>
      <c r="P57" s="64">
        <f t="shared" si="11"/>
        <v>100.93</v>
      </c>
      <c r="Q57" s="64">
        <f t="shared" si="1"/>
        <v>163.37</v>
      </c>
      <c r="R57" s="64">
        <f>IF(ISTEXT($I$40),"",SUM(P$53:P57))</f>
        <v>496.37000000000006</v>
      </c>
      <c r="S57" s="64">
        <f>IF(ISTEXT($I$40),"",SUM(Q$53:Q57))</f>
        <v>825.13</v>
      </c>
      <c r="T57" s="64">
        <f t="shared" si="2"/>
        <v>19503.629999999997</v>
      </c>
      <c r="V57" s="68">
        <f t="shared" si="16"/>
        <v>250</v>
      </c>
      <c r="W57" s="55"/>
      <c r="X57" s="55"/>
      <c r="Y57" s="55"/>
      <c r="AC57" s="62">
        <f>VLOOKUP(Y$348,W$344:X$355,1)</f>
        <v>5</v>
      </c>
      <c r="AD57" s="69">
        <f t="shared" si="12"/>
        <v>38108</v>
      </c>
      <c r="AE57" s="69">
        <f t="shared" si="13"/>
        <v>38108</v>
      </c>
    </row>
    <row r="58" spans="2:31" ht="11.25" customHeight="1">
      <c r="B58" s="59">
        <f t="shared" si="3"/>
        <v>2004</v>
      </c>
      <c r="C58" s="57">
        <f>VLOOKUP(Y$349,W$344:$X$355,1)</f>
        <v>6</v>
      </c>
      <c r="D58" s="55">
        <f t="shared" si="4"/>
        <v>1</v>
      </c>
      <c r="E58" s="61">
        <f>IF(Y349=1,T43+1,E57)</f>
        <v>2004</v>
      </c>
      <c r="F58" s="62" t="str">
        <f>VLOOKUP(Y349,W344:X355,2)</f>
        <v>Jun</v>
      </c>
      <c r="G58" s="63">
        <f t="shared" si="0"/>
        <v>1</v>
      </c>
      <c r="H58" s="63">
        <f t="shared" si="5"/>
        <v>0</v>
      </c>
      <c r="I58" s="64">
        <f t="shared" si="6"/>
        <v>19503.629999999997</v>
      </c>
      <c r="J58" s="64">
        <f t="shared" si="14"/>
        <v>264.3</v>
      </c>
      <c r="K58" s="73">
        <f t="shared" si="15"/>
        <v>50</v>
      </c>
      <c r="L58" s="64">
        <f t="shared" si="7"/>
        <v>314.3</v>
      </c>
      <c r="M58" s="66">
        <f t="shared" si="8"/>
        <v>314.3</v>
      </c>
      <c r="N58" s="66">
        <f t="shared" si="9"/>
        <v>50</v>
      </c>
      <c r="O58" s="67">
        <f t="shared" si="10"/>
        <v>0</v>
      </c>
      <c r="P58" s="64">
        <f t="shared" si="11"/>
        <v>101.77000000000001</v>
      </c>
      <c r="Q58" s="64">
        <f t="shared" si="1"/>
        <v>162.53</v>
      </c>
      <c r="R58" s="64">
        <f>IF(ISTEXT($I$40),"",SUM(P$53:P58))</f>
        <v>598.1400000000001</v>
      </c>
      <c r="S58" s="64">
        <f>IF(ISTEXT($I$40),"",SUM(Q$53:Q58))</f>
        <v>987.66</v>
      </c>
      <c r="T58" s="64">
        <f t="shared" si="2"/>
        <v>19401.859999999997</v>
      </c>
      <c r="V58" s="68">
        <f t="shared" si="16"/>
        <v>300</v>
      </c>
      <c r="W58" s="55"/>
      <c r="X58" s="55"/>
      <c r="Y58" s="55"/>
      <c r="AC58" s="62">
        <f>VLOOKUP(Y$349,W$344:X$355,1)</f>
        <v>6</v>
      </c>
      <c r="AD58" s="69">
        <f t="shared" si="12"/>
        <v>38139</v>
      </c>
      <c r="AE58" s="69">
        <f t="shared" si="13"/>
        <v>38139</v>
      </c>
    </row>
    <row r="59" spans="2:31" ht="11.25" customHeight="1">
      <c r="B59" s="59">
        <f t="shared" si="3"/>
        <v>2004</v>
      </c>
      <c r="C59" s="57">
        <f>VLOOKUP(Y$350,W$344:$X$355,1)</f>
        <v>7</v>
      </c>
      <c r="D59" s="55">
        <f t="shared" si="4"/>
        <v>1</v>
      </c>
      <c r="E59" s="61">
        <f>IF(Y350=1,T43+1,E58)</f>
        <v>2004</v>
      </c>
      <c r="F59" s="62" t="str">
        <f>VLOOKUP(Y350,W344:X355,2)</f>
        <v>Jul</v>
      </c>
      <c r="G59" s="63">
        <f t="shared" si="0"/>
        <v>1</v>
      </c>
      <c r="H59" s="63">
        <f t="shared" si="5"/>
        <v>0</v>
      </c>
      <c r="I59" s="64">
        <f t="shared" si="6"/>
        <v>19401.859999999997</v>
      </c>
      <c r="J59" s="64">
        <f t="shared" si="14"/>
        <v>264.3</v>
      </c>
      <c r="K59" s="73">
        <f t="shared" si="15"/>
        <v>50</v>
      </c>
      <c r="L59" s="64">
        <f t="shared" si="7"/>
        <v>314.3</v>
      </c>
      <c r="M59" s="66">
        <f t="shared" si="8"/>
        <v>314.3</v>
      </c>
      <c r="N59" s="66">
        <f t="shared" si="9"/>
        <v>50</v>
      </c>
      <c r="O59" s="67">
        <f t="shared" si="10"/>
        <v>0</v>
      </c>
      <c r="P59" s="64">
        <f t="shared" si="11"/>
        <v>102.62</v>
      </c>
      <c r="Q59" s="64">
        <f t="shared" si="1"/>
        <v>161.68</v>
      </c>
      <c r="R59" s="64">
        <f>IF(ISTEXT($I$40),"",SUM(P$53:P59))</f>
        <v>700.7600000000001</v>
      </c>
      <c r="S59" s="64">
        <f>IF(ISTEXT($I$40),"",SUM(Q$53:Q59))</f>
        <v>1149.34</v>
      </c>
      <c r="T59" s="64">
        <f t="shared" si="2"/>
        <v>19299.239999999998</v>
      </c>
      <c r="V59" s="68">
        <f t="shared" si="16"/>
        <v>350</v>
      </c>
      <c r="W59" s="55"/>
      <c r="X59" s="55"/>
      <c r="Y59" s="55"/>
      <c r="AC59" s="62">
        <f>VLOOKUP(Y$350,W$344:X$355,1)</f>
        <v>7</v>
      </c>
      <c r="AD59" s="69">
        <f t="shared" si="12"/>
        <v>38169</v>
      </c>
      <c r="AE59" s="69">
        <f t="shared" si="13"/>
        <v>38169</v>
      </c>
    </row>
    <row r="60" spans="2:31" ht="11.25" customHeight="1">
      <c r="B60" s="59">
        <f t="shared" si="3"/>
        <v>2004</v>
      </c>
      <c r="C60" s="57">
        <f>VLOOKUP(Y$351,W$344:$X$355,1)</f>
        <v>8</v>
      </c>
      <c r="D60" s="55">
        <f t="shared" si="4"/>
        <v>1</v>
      </c>
      <c r="E60" s="61">
        <f>IF(Y351=1,T43+1,E59)</f>
        <v>2004</v>
      </c>
      <c r="F60" s="62" t="str">
        <f>VLOOKUP(Y351,W344:X355,2)</f>
        <v>Aug</v>
      </c>
      <c r="G60" s="63">
        <f t="shared" si="0"/>
        <v>1</v>
      </c>
      <c r="H60" s="63">
        <f t="shared" si="5"/>
        <v>0</v>
      </c>
      <c r="I60" s="64">
        <f t="shared" si="6"/>
        <v>19299.239999999998</v>
      </c>
      <c r="J60" s="64">
        <f t="shared" si="14"/>
        <v>264.3</v>
      </c>
      <c r="K60" s="73">
        <f t="shared" si="15"/>
        <v>50</v>
      </c>
      <c r="L60" s="64">
        <f t="shared" si="7"/>
        <v>314.3</v>
      </c>
      <c r="M60" s="66">
        <f t="shared" si="8"/>
        <v>314.3</v>
      </c>
      <c r="N60" s="66">
        <f t="shared" si="9"/>
        <v>50</v>
      </c>
      <c r="O60" s="67">
        <f t="shared" si="10"/>
        <v>0</v>
      </c>
      <c r="P60" s="64">
        <f t="shared" si="11"/>
        <v>103.47</v>
      </c>
      <c r="Q60" s="64">
        <f t="shared" si="1"/>
        <v>160.83</v>
      </c>
      <c r="R60" s="64">
        <f>IF(ISTEXT($I$40),"",SUM(P$53:P60))</f>
        <v>804.2300000000001</v>
      </c>
      <c r="S60" s="64">
        <f>IF(ISTEXT($I$40),"",SUM(Q$53:Q60))</f>
        <v>1310.1699999999998</v>
      </c>
      <c r="T60" s="64">
        <f t="shared" si="2"/>
        <v>19195.769999999997</v>
      </c>
      <c r="V60" s="68">
        <f t="shared" si="16"/>
        <v>400</v>
      </c>
      <c r="W60" s="55"/>
      <c r="X60" s="55"/>
      <c r="Y60" s="55"/>
      <c r="AC60" s="62">
        <f>VLOOKUP(Y$351,W$344:X$355,1)</f>
        <v>8</v>
      </c>
      <c r="AD60" s="69">
        <f t="shared" si="12"/>
        <v>38200</v>
      </c>
      <c r="AE60" s="69">
        <f t="shared" si="13"/>
        <v>38200</v>
      </c>
    </row>
    <row r="61" spans="2:31" ht="11.25" customHeight="1">
      <c r="B61" s="59">
        <f t="shared" si="3"/>
        <v>2004</v>
      </c>
      <c r="C61" s="57">
        <f>VLOOKUP(Y$352,W$344:$X$355,1)</f>
        <v>9</v>
      </c>
      <c r="D61" s="55">
        <f t="shared" si="4"/>
        <v>1</v>
      </c>
      <c r="E61" s="61">
        <f>IF(Y352=1,T43+1,E60)</f>
        <v>2004</v>
      </c>
      <c r="F61" s="62" t="str">
        <f>VLOOKUP(Y352,W344:X355,2)</f>
        <v>Sep</v>
      </c>
      <c r="G61" s="63">
        <f t="shared" si="0"/>
        <v>1</v>
      </c>
      <c r="H61" s="63">
        <f t="shared" si="5"/>
        <v>0</v>
      </c>
      <c r="I61" s="64">
        <f t="shared" si="6"/>
        <v>19195.769999999997</v>
      </c>
      <c r="J61" s="64">
        <f t="shared" si="14"/>
        <v>264.3</v>
      </c>
      <c r="K61" s="73">
        <f t="shared" si="15"/>
        <v>50</v>
      </c>
      <c r="L61" s="64">
        <f t="shared" si="7"/>
        <v>314.3</v>
      </c>
      <c r="M61" s="66">
        <f t="shared" si="8"/>
        <v>314.3</v>
      </c>
      <c r="N61" s="66">
        <f t="shared" si="9"/>
        <v>50</v>
      </c>
      <c r="O61" s="67">
        <f t="shared" si="10"/>
        <v>0</v>
      </c>
      <c r="P61" s="64">
        <f t="shared" si="11"/>
        <v>104.34</v>
      </c>
      <c r="Q61" s="64">
        <f t="shared" si="1"/>
        <v>159.96</v>
      </c>
      <c r="R61" s="64">
        <f>IF(ISTEXT($I$40),"",SUM(P$53:P61))</f>
        <v>908.5700000000002</v>
      </c>
      <c r="S61" s="64">
        <f>IF(ISTEXT($I$40),"",SUM(Q$53:Q61))</f>
        <v>1470.1299999999999</v>
      </c>
      <c r="T61" s="64">
        <f t="shared" si="2"/>
        <v>19091.429999999997</v>
      </c>
      <c r="V61" s="68">
        <f t="shared" si="16"/>
        <v>450</v>
      </c>
      <c r="W61" s="55"/>
      <c r="X61" s="55"/>
      <c r="Y61" s="55"/>
      <c r="AC61" s="62">
        <f>VLOOKUP(Y$352,W$344:X$355,1)</f>
        <v>9</v>
      </c>
      <c r="AD61" s="69">
        <f t="shared" si="12"/>
        <v>38231</v>
      </c>
      <c r="AE61" s="69">
        <f t="shared" si="13"/>
        <v>38231</v>
      </c>
    </row>
    <row r="62" spans="2:31" ht="11.25" customHeight="1">
      <c r="B62" s="59">
        <f t="shared" si="3"/>
        <v>2004</v>
      </c>
      <c r="C62" s="57">
        <f>VLOOKUP(Y$353,W$344:$X$355,1)</f>
        <v>10</v>
      </c>
      <c r="D62" s="55">
        <f t="shared" si="4"/>
        <v>1</v>
      </c>
      <c r="E62" s="61">
        <f>IF(Y353=1,T43+1,E61)</f>
        <v>2004</v>
      </c>
      <c r="F62" s="65" t="str">
        <f>VLOOKUP(Y353,W344:X355,2)</f>
        <v>Oct</v>
      </c>
      <c r="G62" s="63">
        <f t="shared" si="0"/>
        <v>1</v>
      </c>
      <c r="H62" s="63">
        <f t="shared" si="5"/>
        <v>0</v>
      </c>
      <c r="I62" s="64">
        <f t="shared" si="6"/>
        <v>19091.429999999997</v>
      </c>
      <c r="J62" s="64">
        <f t="shared" si="14"/>
        <v>264.3</v>
      </c>
      <c r="K62" s="73">
        <f t="shared" si="15"/>
        <v>50</v>
      </c>
      <c r="L62" s="64">
        <f t="shared" si="7"/>
        <v>314.3</v>
      </c>
      <c r="M62" s="66">
        <f t="shared" si="8"/>
        <v>314.3</v>
      </c>
      <c r="N62" s="66">
        <f t="shared" si="9"/>
        <v>50</v>
      </c>
      <c r="O62" s="67">
        <f t="shared" si="10"/>
        <v>0</v>
      </c>
      <c r="P62" s="64">
        <f t="shared" si="11"/>
        <v>105.20000000000002</v>
      </c>
      <c r="Q62" s="64">
        <f t="shared" si="1"/>
        <v>159.1</v>
      </c>
      <c r="R62" s="64">
        <f>IF(ISTEXT($I$40),"",SUM(P$53:P62))</f>
        <v>1013.7700000000002</v>
      </c>
      <c r="S62" s="64">
        <f>IF(ISTEXT($I$40),"",SUM(Q$53:Q62))</f>
        <v>1629.2299999999998</v>
      </c>
      <c r="T62" s="64">
        <f t="shared" si="2"/>
        <v>18986.229999999996</v>
      </c>
      <c r="V62" s="68">
        <f t="shared" si="16"/>
        <v>500</v>
      </c>
      <c r="W62" s="55"/>
      <c r="X62" s="55"/>
      <c r="Y62" s="55"/>
      <c r="AC62" s="62">
        <f>VLOOKUP(Y$353,W$344:X$355,1)</f>
        <v>10</v>
      </c>
      <c r="AD62" s="69">
        <f t="shared" si="12"/>
        <v>38261</v>
      </c>
      <c r="AE62" s="69">
        <f t="shared" si="13"/>
        <v>38261</v>
      </c>
    </row>
    <row r="63" spans="2:31" ht="11.25" customHeight="1">
      <c r="B63" s="59">
        <f t="shared" si="3"/>
        <v>2004</v>
      </c>
      <c r="C63" s="57">
        <f>VLOOKUP(Y$354,W$344:$X$355,1)</f>
        <v>11</v>
      </c>
      <c r="D63" s="55">
        <f t="shared" si="4"/>
        <v>1</v>
      </c>
      <c r="E63" s="61">
        <f>IF(Y354=1,T43+1,E62)</f>
        <v>2004</v>
      </c>
      <c r="F63" s="62" t="str">
        <f>VLOOKUP(Y354,W344:X355,2)</f>
        <v>Nov</v>
      </c>
      <c r="G63" s="63">
        <f t="shared" si="0"/>
        <v>1</v>
      </c>
      <c r="H63" s="63">
        <f t="shared" si="5"/>
        <v>0</v>
      </c>
      <c r="I63" s="64">
        <f t="shared" si="6"/>
        <v>18986.229999999996</v>
      </c>
      <c r="J63" s="64">
        <f t="shared" si="14"/>
        <v>264.3</v>
      </c>
      <c r="K63" s="73">
        <f t="shared" si="15"/>
        <v>50</v>
      </c>
      <c r="L63" s="64">
        <f t="shared" si="7"/>
        <v>314.3</v>
      </c>
      <c r="M63" s="66">
        <f t="shared" si="8"/>
        <v>314.3</v>
      </c>
      <c r="N63" s="66">
        <f t="shared" si="9"/>
        <v>50</v>
      </c>
      <c r="O63" s="67">
        <f t="shared" si="10"/>
        <v>0</v>
      </c>
      <c r="P63" s="64">
        <f t="shared" si="11"/>
        <v>106.08000000000001</v>
      </c>
      <c r="Q63" s="64">
        <f t="shared" si="1"/>
        <v>158.22</v>
      </c>
      <c r="R63" s="64">
        <f>IF(ISTEXT($I$40),"",SUM(P$53:P63))</f>
        <v>1119.8500000000001</v>
      </c>
      <c r="S63" s="64">
        <f>IF(ISTEXT($I$40),"",SUM(Q$53:Q63))</f>
        <v>1787.4499999999998</v>
      </c>
      <c r="T63" s="64">
        <f t="shared" si="2"/>
        <v>18880.149999999994</v>
      </c>
      <c r="V63" s="68">
        <f t="shared" si="16"/>
        <v>550</v>
      </c>
      <c r="W63" s="55"/>
      <c r="X63" s="55"/>
      <c r="Y63" s="55"/>
      <c r="AC63" s="62">
        <f>VLOOKUP(Y$354,W$344:X$355,1)</f>
        <v>11</v>
      </c>
      <c r="AD63" s="69">
        <f t="shared" si="12"/>
        <v>38292</v>
      </c>
      <c r="AE63" s="69">
        <f t="shared" si="13"/>
        <v>38292</v>
      </c>
    </row>
    <row r="64" spans="2:31" ht="11.25" customHeight="1">
      <c r="B64" s="59">
        <f t="shared" si="3"/>
        <v>2004</v>
      </c>
      <c r="C64" s="57">
        <f>VLOOKUP(Y$355,W$344:$X$355,1)</f>
        <v>12</v>
      </c>
      <c r="D64" s="55">
        <f t="shared" si="4"/>
        <v>1</v>
      </c>
      <c r="E64" s="61">
        <f>IF(Y355=1,T43+1,E63)</f>
        <v>2004</v>
      </c>
      <c r="F64" s="62" t="str">
        <f>VLOOKUP(Y355,W344:X355,2)</f>
        <v>Dec</v>
      </c>
      <c r="G64" s="63">
        <f t="shared" si="0"/>
        <v>1</v>
      </c>
      <c r="H64" s="63">
        <f t="shared" si="5"/>
        <v>0</v>
      </c>
      <c r="I64" s="64">
        <f t="shared" si="6"/>
        <v>18880.149999999994</v>
      </c>
      <c r="J64" s="64">
        <f t="shared" si="14"/>
        <v>264.3</v>
      </c>
      <c r="K64" s="73">
        <f t="shared" si="15"/>
        <v>50</v>
      </c>
      <c r="L64" s="64">
        <f t="shared" si="7"/>
        <v>314.3</v>
      </c>
      <c r="M64" s="66">
        <f t="shared" si="8"/>
        <v>314.3</v>
      </c>
      <c r="N64" s="66">
        <f t="shared" si="9"/>
        <v>50</v>
      </c>
      <c r="O64" s="67">
        <f t="shared" si="10"/>
        <v>0</v>
      </c>
      <c r="P64" s="64">
        <f t="shared" si="11"/>
        <v>106.97</v>
      </c>
      <c r="Q64" s="64">
        <f t="shared" si="1"/>
        <v>157.33</v>
      </c>
      <c r="R64" s="64">
        <f>IF(ISTEXT($I$40),"",SUM(P$53:P64))</f>
        <v>1226.8200000000002</v>
      </c>
      <c r="S64" s="64">
        <f>IF(ISTEXT($I$40),"",SUM(Q$53:Q64))</f>
        <v>1944.7799999999997</v>
      </c>
      <c r="T64" s="64">
        <f t="shared" si="2"/>
        <v>18773.179999999993</v>
      </c>
      <c r="V64" s="68">
        <f t="shared" si="16"/>
        <v>600</v>
      </c>
      <c r="W64" s="55"/>
      <c r="X64" s="55"/>
      <c r="Y64" s="55"/>
      <c r="AC64" s="62">
        <f>VLOOKUP(Y$355,W$344:X$355,1)</f>
        <v>12</v>
      </c>
      <c r="AD64" s="69">
        <f t="shared" si="12"/>
        <v>38322</v>
      </c>
      <c r="AE64" s="69">
        <f t="shared" si="13"/>
        <v>38322</v>
      </c>
    </row>
    <row r="65" spans="2:31" ht="11.25" customHeight="1">
      <c r="B65" s="59">
        <f t="shared" si="3"/>
        <v>2005</v>
      </c>
      <c r="C65" s="57">
        <f>VLOOKUP(Y$344,W$344:$X$355,1)</f>
        <v>1</v>
      </c>
      <c r="D65" s="55">
        <f t="shared" si="4"/>
        <v>1</v>
      </c>
      <c r="E65" s="61">
        <f>IF(Y344=1,$T$43+1,E64)</f>
        <v>2005</v>
      </c>
      <c r="F65" s="62" t="str">
        <f>VLOOKUP(Y$344,W$344:X$355,2)</f>
        <v>Jan</v>
      </c>
      <c r="G65" s="63">
        <f t="shared" si="0"/>
        <v>1</v>
      </c>
      <c r="H65" s="63">
        <f t="shared" si="5"/>
        <v>0</v>
      </c>
      <c r="I65" s="64">
        <f t="shared" si="6"/>
        <v>18773.179999999993</v>
      </c>
      <c r="J65" s="64">
        <f t="shared" si="14"/>
        <v>264.3</v>
      </c>
      <c r="K65" s="73">
        <f t="shared" si="15"/>
        <v>50</v>
      </c>
      <c r="L65" s="64">
        <f t="shared" si="7"/>
        <v>314.3</v>
      </c>
      <c r="M65" s="66">
        <f t="shared" si="8"/>
        <v>314.3</v>
      </c>
      <c r="N65" s="66">
        <f t="shared" si="9"/>
        <v>50</v>
      </c>
      <c r="O65" s="67">
        <f t="shared" si="10"/>
        <v>0</v>
      </c>
      <c r="P65" s="64">
        <f t="shared" si="11"/>
        <v>107.86000000000001</v>
      </c>
      <c r="Q65" s="64">
        <f t="shared" si="1"/>
        <v>156.44</v>
      </c>
      <c r="R65" s="64">
        <f>IF(ISTEXT($I$40),"",SUM(P$53:P65))</f>
        <v>1334.6800000000003</v>
      </c>
      <c r="S65" s="64">
        <f>IF(ISTEXT($I$40),"",SUM(Q$53:Q65))</f>
        <v>2101.22</v>
      </c>
      <c r="T65" s="64">
        <f t="shared" si="2"/>
        <v>18665.319999999992</v>
      </c>
      <c r="V65" s="68">
        <f t="shared" si="16"/>
        <v>650</v>
      </c>
      <c r="W65" s="55"/>
      <c r="X65" s="55"/>
      <c r="Y65" s="55"/>
      <c r="AC65" s="62">
        <f>VLOOKUP(Y$344,W$344:X$355,1)</f>
        <v>1</v>
      </c>
      <c r="AD65" s="69">
        <f t="shared" si="12"/>
        <v>38353</v>
      </c>
      <c r="AE65" s="69">
        <f t="shared" si="13"/>
        <v>38353</v>
      </c>
    </row>
    <row r="66" spans="2:31" ht="11.25" customHeight="1">
      <c r="B66" s="59">
        <f t="shared" si="3"/>
        <v>2005</v>
      </c>
      <c r="C66" s="57">
        <f>VLOOKUP(Y$345,W$344:$X$355,1)</f>
        <v>2</v>
      </c>
      <c r="D66" s="55">
        <f t="shared" si="4"/>
        <v>1</v>
      </c>
      <c r="E66" s="61">
        <f aca="true" t="shared" si="17" ref="E66:E76">IF(Y345=1,$T$43+2,E65)</f>
        <v>2005</v>
      </c>
      <c r="F66" s="62" t="str">
        <f>VLOOKUP(Y$345,W$344:X$355,2)</f>
        <v>Feb</v>
      </c>
      <c r="G66" s="63">
        <f t="shared" si="0"/>
        <v>1</v>
      </c>
      <c r="H66" s="63">
        <f t="shared" si="5"/>
        <v>0</v>
      </c>
      <c r="I66" s="64">
        <f t="shared" si="6"/>
        <v>18665.319999999992</v>
      </c>
      <c r="J66" s="64">
        <f t="shared" si="14"/>
        <v>264.3</v>
      </c>
      <c r="K66" s="73">
        <f t="shared" si="15"/>
        <v>50</v>
      </c>
      <c r="L66" s="64">
        <f t="shared" si="7"/>
        <v>314.3</v>
      </c>
      <c r="M66" s="66">
        <f t="shared" si="8"/>
        <v>314.3</v>
      </c>
      <c r="N66" s="66">
        <f t="shared" si="9"/>
        <v>50</v>
      </c>
      <c r="O66" s="67">
        <f t="shared" si="10"/>
        <v>0</v>
      </c>
      <c r="P66" s="64">
        <f t="shared" si="11"/>
        <v>108.76000000000002</v>
      </c>
      <c r="Q66" s="64">
        <f t="shared" si="1"/>
        <v>155.54</v>
      </c>
      <c r="R66" s="64">
        <f>IF(ISTEXT($I$40),"",SUM(P$53:P66))</f>
        <v>1443.4400000000003</v>
      </c>
      <c r="S66" s="64">
        <f>IF(ISTEXT($I$40),"",SUM(Q$53:Q66))</f>
        <v>2256.7599999999998</v>
      </c>
      <c r="T66" s="64">
        <f t="shared" si="2"/>
        <v>18556.559999999994</v>
      </c>
      <c r="V66" s="68">
        <f t="shared" si="16"/>
        <v>700</v>
      </c>
      <c r="W66" s="55"/>
      <c r="X66" s="55"/>
      <c r="Y66" s="55"/>
      <c r="AC66" s="62">
        <f>VLOOKUP(Y$345,W$344:X$355,1)</f>
        <v>2</v>
      </c>
      <c r="AD66" s="69">
        <f t="shared" si="12"/>
        <v>38384</v>
      </c>
      <c r="AE66" s="69">
        <f t="shared" si="13"/>
        <v>38384</v>
      </c>
    </row>
    <row r="67" spans="2:31" ht="11.25" customHeight="1">
      <c r="B67" s="59">
        <f t="shared" si="3"/>
        <v>2005</v>
      </c>
      <c r="C67" s="57">
        <f>VLOOKUP(Y$346,W$344:$X$355,1)</f>
        <v>3</v>
      </c>
      <c r="D67" s="55">
        <f t="shared" si="4"/>
        <v>1</v>
      </c>
      <c r="E67" s="61">
        <f t="shared" si="17"/>
        <v>2005</v>
      </c>
      <c r="F67" s="62" t="str">
        <f>VLOOKUP(Y$346,W$344:X$355,2)</f>
        <v>Mar</v>
      </c>
      <c r="G67" s="63">
        <f t="shared" si="0"/>
        <v>1</v>
      </c>
      <c r="H67" s="63">
        <f t="shared" si="5"/>
        <v>0</v>
      </c>
      <c r="I67" s="64">
        <f t="shared" si="6"/>
        <v>18556.559999999994</v>
      </c>
      <c r="J67" s="64">
        <f t="shared" si="14"/>
        <v>264.3</v>
      </c>
      <c r="K67" s="73">
        <f t="shared" si="15"/>
        <v>50</v>
      </c>
      <c r="L67" s="64">
        <f t="shared" si="7"/>
        <v>314.3</v>
      </c>
      <c r="M67" s="66">
        <f t="shared" si="8"/>
        <v>314.3</v>
      </c>
      <c r="N67" s="66">
        <f t="shared" si="9"/>
        <v>50</v>
      </c>
      <c r="O67" s="67">
        <f t="shared" si="10"/>
        <v>0</v>
      </c>
      <c r="P67" s="64">
        <f t="shared" si="11"/>
        <v>109.66000000000003</v>
      </c>
      <c r="Q67" s="64">
        <f t="shared" si="1"/>
        <v>154.64</v>
      </c>
      <c r="R67" s="64">
        <f>IF(ISTEXT($I$40),"",SUM(P$53:P67))</f>
        <v>1553.1000000000004</v>
      </c>
      <c r="S67" s="64">
        <f>IF(ISTEXT($I$40),"",SUM(Q$53:Q67))</f>
        <v>2411.3999999999996</v>
      </c>
      <c r="T67" s="64">
        <f t="shared" si="2"/>
        <v>18446.899999999994</v>
      </c>
      <c r="V67" s="68">
        <f t="shared" si="16"/>
        <v>750</v>
      </c>
      <c r="W67" s="55"/>
      <c r="X67" s="55"/>
      <c r="Y67" s="55"/>
      <c r="AC67" s="62">
        <f>VLOOKUP(Y$346,W$344:X$355,1)</f>
        <v>3</v>
      </c>
      <c r="AD67" s="69">
        <f t="shared" si="12"/>
        <v>38412</v>
      </c>
      <c r="AE67" s="69">
        <f t="shared" si="13"/>
        <v>38412</v>
      </c>
    </row>
    <row r="68" spans="2:31" ht="11.25" customHeight="1">
      <c r="B68" s="59">
        <f t="shared" si="3"/>
        <v>2005</v>
      </c>
      <c r="C68" s="57">
        <f>VLOOKUP(Y$347,W$344:$X$355,1)</f>
        <v>4</v>
      </c>
      <c r="D68" s="55">
        <f t="shared" si="4"/>
        <v>1</v>
      </c>
      <c r="E68" s="61">
        <f t="shared" si="17"/>
        <v>2005</v>
      </c>
      <c r="F68" s="62" t="str">
        <f>VLOOKUP(Y$347,W$344:X$355,2)</f>
        <v>Apr</v>
      </c>
      <c r="G68" s="63">
        <f t="shared" si="0"/>
        <v>1</v>
      </c>
      <c r="H68" s="63">
        <f t="shared" si="5"/>
        <v>0</v>
      </c>
      <c r="I68" s="64">
        <f t="shared" si="6"/>
        <v>18446.899999999994</v>
      </c>
      <c r="J68" s="64">
        <f t="shared" si="14"/>
        <v>264.3</v>
      </c>
      <c r="K68" s="73">
        <f t="shared" si="15"/>
        <v>50</v>
      </c>
      <c r="L68" s="64">
        <f t="shared" si="7"/>
        <v>314.3</v>
      </c>
      <c r="M68" s="66">
        <f t="shared" si="8"/>
        <v>314.3</v>
      </c>
      <c r="N68" s="66">
        <f t="shared" si="9"/>
        <v>50</v>
      </c>
      <c r="O68" s="67">
        <f t="shared" si="10"/>
        <v>0</v>
      </c>
      <c r="P68" s="64">
        <f t="shared" si="11"/>
        <v>110.58000000000001</v>
      </c>
      <c r="Q68" s="64">
        <f t="shared" si="1"/>
        <v>153.72</v>
      </c>
      <c r="R68" s="64">
        <f>IF(ISTEXT($I$40),"",SUM(P$53:P68))</f>
        <v>1663.6800000000003</v>
      </c>
      <c r="S68" s="64">
        <f>IF(ISTEXT($I$40),"",SUM(Q$53:Q68))</f>
        <v>2565.1199999999994</v>
      </c>
      <c r="T68" s="64">
        <f t="shared" si="2"/>
        <v>18336.319999999992</v>
      </c>
      <c r="V68" s="68">
        <f t="shared" si="16"/>
        <v>800</v>
      </c>
      <c r="W68" s="55"/>
      <c r="X68" s="55"/>
      <c r="Y68" s="55"/>
      <c r="AC68" s="62">
        <f>VLOOKUP(Y$347,W$344:X$355,1)</f>
        <v>4</v>
      </c>
      <c r="AD68" s="69">
        <f t="shared" si="12"/>
        <v>38443</v>
      </c>
      <c r="AE68" s="69">
        <f t="shared" si="13"/>
        <v>38443</v>
      </c>
    </row>
    <row r="69" spans="2:31" ht="11.25" customHeight="1">
      <c r="B69" s="59">
        <f t="shared" si="3"/>
        <v>2005</v>
      </c>
      <c r="C69" s="57">
        <f>VLOOKUP(Y$348,W$344:$X$355,1)</f>
        <v>5</v>
      </c>
      <c r="D69" s="55">
        <f t="shared" si="4"/>
        <v>1</v>
      </c>
      <c r="E69" s="61">
        <f t="shared" si="17"/>
        <v>2005</v>
      </c>
      <c r="F69" s="62" t="str">
        <f>VLOOKUP(Y$348,W$344:X$355,2)</f>
        <v>May</v>
      </c>
      <c r="G69" s="63">
        <f t="shared" si="0"/>
        <v>1</v>
      </c>
      <c r="H69" s="63">
        <f t="shared" si="5"/>
        <v>0</v>
      </c>
      <c r="I69" s="64">
        <f t="shared" si="6"/>
        <v>18336.319999999992</v>
      </c>
      <c r="J69" s="64">
        <f t="shared" si="14"/>
        <v>264.3</v>
      </c>
      <c r="K69" s="73">
        <f t="shared" si="15"/>
        <v>50</v>
      </c>
      <c r="L69" s="64">
        <f t="shared" si="7"/>
        <v>314.3</v>
      </c>
      <c r="M69" s="66">
        <f t="shared" si="8"/>
        <v>314.3</v>
      </c>
      <c r="N69" s="66">
        <f t="shared" si="9"/>
        <v>50</v>
      </c>
      <c r="O69" s="67">
        <f t="shared" si="10"/>
        <v>0</v>
      </c>
      <c r="P69" s="64">
        <f t="shared" si="11"/>
        <v>111.5</v>
      </c>
      <c r="Q69" s="64">
        <f t="shared" si="1"/>
        <v>152.8</v>
      </c>
      <c r="R69" s="64">
        <f>IF(ISTEXT($I$40),"",SUM(P$53:P69))</f>
        <v>1775.1800000000003</v>
      </c>
      <c r="S69" s="64">
        <f>IF(ISTEXT($I$40),"",SUM(Q$53:Q69))</f>
        <v>2717.9199999999996</v>
      </c>
      <c r="T69" s="64">
        <f t="shared" si="2"/>
        <v>18224.819999999992</v>
      </c>
      <c r="V69" s="68">
        <f t="shared" si="16"/>
        <v>850</v>
      </c>
      <c r="W69" s="55"/>
      <c r="X69" s="55"/>
      <c r="Y69" s="55"/>
      <c r="AC69" s="62">
        <f>VLOOKUP(Y$348,W$344:X$355,1)</f>
        <v>5</v>
      </c>
      <c r="AD69" s="69">
        <f t="shared" si="12"/>
        <v>38473</v>
      </c>
      <c r="AE69" s="69">
        <f t="shared" si="13"/>
        <v>38473</v>
      </c>
    </row>
    <row r="70" spans="2:31" ht="11.25" customHeight="1">
      <c r="B70" s="59">
        <f t="shared" si="3"/>
        <v>2005</v>
      </c>
      <c r="C70" s="57">
        <f>VLOOKUP(Y$349,W$344:$X$355,1)</f>
        <v>6</v>
      </c>
      <c r="D70" s="55">
        <f t="shared" si="4"/>
        <v>1</v>
      </c>
      <c r="E70" s="61">
        <f t="shared" si="17"/>
        <v>2005</v>
      </c>
      <c r="F70" s="62" t="str">
        <f>VLOOKUP(Y$349,W$344:X$355,2)</f>
        <v>Jun</v>
      </c>
      <c r="G70" s="63">
        <f t="shared" si="0"/>
        <v>1</v>
      </c>
      <c r="H70" s="63">
        <f t="shared" si="5"/>
        <v>0</v>
      </c>
      <c r="I70" s="64">
        <f t="shared" si="6"/>
        <v>18224.819999999992</v>
      </c>
      <c r="J70" s="64">
        <f t="shared" si="14"/>
        <v>264.3</v>
      </c>
      <c r="K70" s="73">
        <f t="shared" si="15"/>
        <v>50</v>
      </c>
      <c r="L70" s="64">
        <f t="shared" si="7"/>
        <v>314.3</v>
      </c>
      <c r="M70" s="66">
        <f t="shared" si="8"/>
        <v>314.3</v>
      </c>
      <c r="N70" s="66">
        <f t="shared" si="9"/>
        <v>50</v>
      </c>
      <c r="O70" s="67">
        <f t="shared" si="10"/>
        <v>0</v>
      </c>
      <c r="P70" s="64">
        <f t="shared" si="11"/>
        <v>112.43</v>
      </c>
      <c r="Q70" s="64">
        <f t="shared" si="1"/>
        <v>151.87</v>
      </c>
      <c r="R70" s="64">
        <f>IF(ISTEXT($I$40),"",SUM(P$53:P70))</f>
        <v>1887.6100000000004</v>
      </c>
      <c r="S70" s="64">
        <f>IF(ISTEXT($I$40),"",SUM(Q$53:Q70))</f>
        <v>2869.7899999999995</v>
      </c>
      <c r="T70" s="64">
        <f t="shared" si="2"/>
        <v>18112.389999999992</v>
      </c>
      <c r="V70" s="68">
        <f t="shared" si="16"/>
        <v>900</v>
      </c>
      <c r="W70" s="55"/>
      <c r="X70" s="55"/>
      <c r="Y70" s="55"/>
      <c r="AC70" s="62">
        <f>VLOOKUP(Y$349,W$344:X$355,1)</f>
        <v>6</v>
      </c>
      <c r="AD70" s="69">
        <f t="shared" si="12"/>
        <v>38504</v>
      </c>
      <c r="AE70" s="69">
        <f t="shared" si="13"/>
        <v>38504</v>
      </c>
    </row>
    <row r="71" spans="2:31" ht="11.25" customHeight="1">
      <c r="B71" s="59">
        <f t="shared" si="3"/>
        <v>2005</v>
      </c>
      <c r="C71" s="57">
        <f>VLOOKUP(Y$350,W$344:$X$355,1)</f>
        <v>7</v>
      </c>
      <c r="D71" s="55">
        <f t="shared" si="4"/>
        <v>1</v>
      </c>
      <c r="E71" s="61">
        <f t="shared" si="17"/>
        <v>2005</v>
      </c>
      <c r="F71" s="62" t="str">
        <f>VLOOKUP(Y$350,W$344:X$355,2)</f>
        <v>Jul</v>
      </c>
      <c r="G71" s="63">
        <f t="shared" si="0"/>
        <v>1</v>
      </c>
      <c r="H71" s="63">
        <f t="shared" si="5"/>
        <v>0</v>
      </c>
      <c r="I71" s="64">
        <f t="shared" si="6"/>
        <v>18112.389999999992</v>
      </c>
      <c r="J71" s="64">
        <f t="shared" si="14"/>
        <v>264.3</v>
      </c>
      <c r="K71" s="73">
        <f t="shared" si="15"/>
        <v>50</v>
      </c>
      <c r="L71" s="64">
        <f t="shared" si="7"/>
        <v>314.3</v>
      </c>
      <c r="M71" s="66">
        <f t="shared" si="8"/>
        <v>314.3</v>
      </c>
      <c r="N71" s="66">
        <f t="shared" si="9"/>
        <v>50</v>
      </c>
      <c r="O71" s="67">
        <f t="shared" si="10"/>
        <v>0</v>
      </c>
      <c r="P71" s="64">
        <f t="shared" si="11"/>
        <v>113.36000000000001</v>
      </c>
      <c r="Q71" s="64">
        <f t="shared" si="1"/>
        <v>150.94</v>
      </c>
      <c r="R71" s="64">
        <f>IF(ISTEXT($I$40),"",SUM(P$53:P71))</f>
        <v>2000.9700000000003</v>
      </c>
      <c r="S71" s="64">
        <f>IF(ISTEXT($I$40),"",SUM(Q$53:Q71))</f>
        <v>3020.7299999999996</v>
      </c>
      <c r="T71" s="64">
        <f t="shared" si="2"/>
        <v>17999.02999999999</v>
      </c>
      <c r="V71" s="68">
        <f t="shared" si="16"/>
        <v>950</v>
      </c>
      <c r="W71" s="55"/>
      <c r="X71" s="55"/>
      <c r="Y71" s="55"/>
      <c r="AC71" s="62">
        <f>VLOOKUP(Y$350,W$344:X$355,1)</f>
        <v>7</v>
      </c>
      <c r="AD71" s="69">
        <f t="shared" si="12"/>
        <v>38534</v>
      </c>
      <c r="AE71" s="69">
        <f t="shared" si="13"/>
        <v>38534</v>
      </c>
    </row>
    <row r="72" spans="2:31" ht="11.25" customHeight="1">
      <c r="B72" s="59">
        <f t="shared" si="3"/>
        <v>2005</v>
      </c>
      <c r="C72" s="57">
        <f>VLOOKUP(Y$351,W$344:$X$355,1)</f>
        <v>8</v>
      </c>
      <c r="D72" s="55">
        <f t="shared" si="4"/>
        <v>1</v>
      </c>
      <c r="E72" s="61">
        <f t="shared" si="17"/>
        <v>2005</v>
      </c>
      <c r="F72" s="62" t="str">
        <f>VLOOKUP(Y$351,W$344:X$355,2)</f>
        <v>Aug</v>
      </c>
      <c r="G72" s="63">
        <f t="shared" si="0"/>
        <v>1</v>
      </c>
      <c r="H72" s="63">
        <f t="shared" si="5"/>
        <v>0</v>
      </c>
      <c r="I72" s="64">
        <f t="shared" si="6"/>
        <v>17999.02999999999</v>
      </c>
      <c r="J72" s="64">
        <f t="shared" si="14"/>
        <v>264.3</v>
      </c>
      <c r="K72" s="73">
        <f t="shared" si="15"/>
        <v>50</v>
      </c>
      <c r="L72" s="64">
        <f t="shared" si="7"/>
        <v>314.3</v>
      </c>
      <c r="M72" s="66">
        <f t="shared" si="8"/>
        <v>314.3</v>
      </c>
      <c r="N72" s="66">
        <f t="shared" si="9"/>
        <v>50</v>
      </c>
      <c r="O72" s="67">
        <f t="shared" si="10"/>
        <v>0</v>
      </c>
      <c r="P72" s="64">
        <f t="shared" si="11"/>
        <v>114.31</v>
      </c>
      <c r="Q72" s="64">
        <f t="shared" si="1"/>
        <v>149.99</v>
      </c>
      <c r="R72" s="64">
        <f>IF(ISTEXT($I$40),"",SUM(P$53:P72))</f>
        <v>2115.28</v>
      </c>
      <c r="S72" s="64">
        <f>IF(ISTEXT($I$40),"",SUM(Q$53:Q72))</f>
        <v>3170.7199999999993</v>
      </c>
      <c r="T72" s="64">
        <f t="shared" si="2"/>
        <v>17884.71999999999</v>
      </c>
      <c r="V72" s="68">
        <f t="shared" si="16"/>
        <v>1000</v>
      </c>
      <c r="W72" s="55"/>
      <c r="X72" s="55"/>
      <c r="Y72" s="55"/>
      <c r="AC72" s="62">
        <f>VLOOKUP(Y$351,W$344:X$355,1)</f>
        <v>8</v>
      </c>
      <c r="AD72" s="69">
        <f t="shared" si="12"/>
        <v>38565</v>
      </c>
      <c r="AE72" s="69">
        <f t="shared" si="13"/>
        <v>38565</v>
      </c>
    </row>
    <row r="73" spans="2:31" ht="11.25" customHeight="1">
      <c r="B73" s="59">
        <f t="shared" si="3"/>
        <v>2005</v>
      </c>
      <c r="C73" s="57">
        <f>VLOOKUP(Y$352,W$344:$X$355,1)</f>
        <v>9</v>
      </c>
      <c r="D73" s="55">
        <f t="shared" si="4"/>
        <v>1</v>
      </c>
      <c r="E73" s="61">
        <f t="shared" si="17"/>
        <v>2005</v>
      </c>
      <c r="F73" s="62" t="str">
        <f>VLOOKUP(Y$352,W$344:X$355,2)</f>
        <v>Sep</v>
      </c>
      <c r="G73" s="63">
        <f t="shared" si="0"/>
        <v>1</v>
      </c>
      <c r="H73" s="63">
        <f t="shared" si="5"/>
        <v>0</v>
      </c>
      <c r="I73" s="64">
        <f t="shared" si="6"/>
        <v>17884.71999999999</v>
      </c>
      <c r="J73" s="64">
        <f t="shared" si="14"/>
        <v>264.3</v>
      </c>
      <c r="K73" s="73">
        <f t="shared" si="15"/>
        <v>50</v>
      </c>
      <c r="L73" s="64">
        <f t="shared" si="7"/>
        <v>314.3</v>
      </c>
      <c r="M73" s="66">
        <f t="shared" si="8"/>
        <v>314.3</v>
      </c>
      <c r="N73" s="66">
        <f t="shared" si="9"/>
        <v>50</v>
      </c>
      <c r="O73" s="67">
        <f t="shared" si="10"/>
        <v>0</v>
      </c>
      <c r="P73" s="64">
        <f t="shared" si="11"/>
        <v>115.26000000000002</v>
      </c>
      <c r="Q73" s="64">
        <f t="shared" si="1"/>
        <v>149.04</v>
      </c>
      <c r="R73" s="64">
        <f>IF(ISTEXT($I$40),"",SUM(P$53:P73))</f>
        <v>2230.5400000000004</v>
      </c>
      <c r="S73" s="64">
        <f>IF(ISTEXT($I$40),"",SUM(Q$53:Q73))</f>
        <v>3319.7599999999993</v>
      </c>
      <c r="T73" s="64">
        <f t="shared" si="2"/>
        <v>17769.459999999992</v>
      </c>
      <c r="V73" s="68">
        <f t="shared" si="16"/>
        <v>1050</v>
      </c>
      <c r="W73" s="55"/>
      <c r="X73" s="55"/>
      <c r="Y73" s="55"/>
      <c r="AC73" s="62">
        <f>VLOOKUP(Y$352,W$344:X$355,1)</f>
        <v>9</v>
      </c>
      <c r="AD73" s="69">
        <f t="shared" si="12"/>
        <v>38596</v>
      </c>
      <c r="AE73" s="69">
        <f t="shared" si="13"/>
        <v>38596</v>
      </c>
    </row>
    <row r="74" spans="2:31" ht="11.25" customHeight="1">
      <c r="B74" s="59">
        <f t="shared" si="3"/>
        <v>2005</v>
      </c>
      <c r="C74" s="57">
        <f>VLOOKUP(Y$353,W$344:$X$355,1)</f>
        <v>10</v>
      </c>
      <c r="D74" s="55">
        <f t="shared" si="4"/>
        <v>1</v>
      </c>
      <c r="E74" s="61">
        <f t="shared" si="17"/>
        <v>2005</v>
      </c>
      <c r="F74" s="62" t="str">
        <f>VLOOKUP(Y$353,W$344:X$355,2)</f>
        <v>Oct</v>
      </c>
      <c r="G74" s="63">
        <f t="shared" si="0"/>
        <v>1</v>
      </c>
      <c r="H74" s="63">
        <f t="shared" si="5"/>
        <v>0</v>
      </c>
      <c r="I74" s="64">
        <f t="shared" si="6"/>
        <v>17769.459999999992</v>
      </c>
      <c r="J74" s="64">
        <f t="shared" si="14"/>
        <v>264.3</v>
      </c>
      <c r="K74" s="73">
        <f t="shared" si="15"/>
        <v>50</v>
      </c>
      <c r="L74" s="64">
        <f t="shared" si="7"/>
        <v>314.3</v>
      </c>
      <c r="M74" s="66">
        <f t="shared" si="8"/>
        <v>314.3</v>
      </c>
      <c r="N74" s="66">
        <f t="shared" si="9"/>
        <v>50</v>
      </c>
      <c r="O74" s="67">
        <f t="shared" si="10"/>
        <v>0</v>
      </c>
      <c r="P74" s="64">
        <f t="shared" si="11"/>
        <v>116.22</v>
      </c>
      <c r="Q74" s="64">
        <f t="shared" si="1"/>
        <v>148.08</v>
      </c>
      <c r="R74" s="64">
        <f>IF(ISTEXT($I$40),"",SUM(P$53:P74))</f>
        <v>2346.76</v>
      </c>
      <c r="S74" s="64">
        <f>IF(ISTEXT($I$40),"",SUM(Q$53:Q74))</f>
        <v>3467.8399999999992</v>
      </c>
      <c r="T74" s="64">
        <f t="shared" si="2"/>
        <v>17653.23999999999</v>
      </c>
      <c r="V74" s="68">
        <f t="shared" si="16"/>
        <v>1100</v>
      </c>
      <c r="W74" s="55"/>
      <c r="X74" s="55"/>
      <c r="Y74" s="55"/>
      <c r="AC74" s="62">
        <f>VLOOKUP(Y$353,W$344:X$355,1)</f>
        <v>10</v>
      </c>
      <c r="AD74" s="69">
        <f t="shared" si="12"/>
        <v>38626</v>
      </c>
      <c r="AE74" s="69">
        <f t="shared" si="13"/>
        <v>38626</v>
      </c>
    </row>
    <row r="75" spans="2:31" ht="11.25" customHeight="1">
      <c r="B75" s="59">
        <f t="shared" si="3"/>
        <v>2005</v>
      </c>
      <c r="C75" s="57">
        <f>VLOOKUP(Y$354,W$344:$X$355,1)</f>
        <v>11</v>
      </c>
      <c r="D75" s="55">
        <f t="shared" si="4"/>
        <v>1</v>
      </c>
      <c r="E75" s="61">
        <f t="shared" si="17"/>
        <v>2005</v>
      </c>
      <c r="F75" s="62" t="str">
        <f>VLOOKUP(Y$354,W$344:X$355,2)</f>
        <v>Nov</v>
      </c>
      <c r="G75" s="63">
        <f t="shared" si="0"/>
        <v>1</v>
      </c>
      <c r="H75" s="63">
        <f t="shared" si="5"/>
        <v>0</v>
      </c>
      <c r="I75" s="64">
        <f t="shared" si="6"/>
        <v>17653.23999999999</v>
      </c>
      <c r="J75" s="64">
        <f t="shared" si="14"/>
        <v>264.3</v>
      </c>
      <c r="K75" s="73">
        <f t="shared" si="15"/>
        <v>50</v>
      </c>
      <c r="L75" s="64">
        <f t="shared" si="7"/>
        <v>314.3</v>
      </c>
      <c r="M75" s="66">
        <f t="shared" si="8"/>
        <v>314.3</v>
      </c>
      <c r="N75" s="66">
        <f t="shared" si="9"/>
        <v>50</v>
      </c>
      <c r="O75" s="67">
        <f t="shared" si="10"/>
        <v>0</v>
      </c>
      <c r="P75" s="64">
        <f t="shared" si="11"/>
        <v>117.19</v>
      </c>
      <c r="Q75" s="64">
        <f t="shared" si="1"/>
        <v>147.11</v>
      </c>
      <c r="R75" s="64">
        <f>IF(ISTEXT($I$40),"",SUM(P$53:P75))</f>
        <v>2463.9500000000003</v>
      </c>
      <c r="S75" s="64">
        <f>IF(ISTEXT($I$40),"",SUM(Q$53:Q75))</f>
        <v>3614.9499999999994</v>
      </c>
      <c r="T75" s="64">
        <f t="shared" si="2"/>
        <v>17536.049999999992</v>
      </c>
      <c r="V75" s="68">
        <f t="shared" si="16"/>
        <v>1150</v>
      </c>
      <c r="W75" s="55"/>
      <c r="X75" s="55"/>
      <c r="Y75" s="55"/>
      <c r="AC75" s="62">
        <f>VLOOKUP(Y$354,W$344:X$355,1)</f>
        <v>11</v>
      </c>
      <c r="AD75" s="69">
        <f t="shared" si="12"/>
        <v>38657</v>
      </c>
      <c r="AE75" s="69">
        <f t="shared" si="13"/>
        <v>38657</v>
      </c>
    </row>
    <row r="76" spans="2:31" ht="11.25" customHeight="1">
      <c r="B76" s="59">
        <f t="shared" si="3"/>
        <v>2005</v>
      </c>
      <c r="C76" s="57">
        <f>VLOOKUP(Y$355,W$344:$X$355,1)</f>
        <v>12</v>
      </c>
      <c r="D76" s="55">
        <f t="shared" si="4"/>
        <v>1</v>
      </c>
      <c r="E76" s="61">
        <f t="shared" si="17"/>
        <v>2005</v>
      </c>
      <c r="F76" s="62" t="str">
        <f>VLOOKUP(Y$355,W$344:X$355,2)</f>
        <v>Dec</v>
      </c>
      <c r="G76" s="63">
        <f t="shared" si="0"/>
        <v>1</v>
      </c>
      <c r="H76" s="63">
        <f t="shared" si="5"/>
        <v>0</v>
      </c>
      <c r="I76" s="64">
        <f t="shared" si="6"/>
        <v>17536.049999999992</v>
      </c>
      <c r="J76" s="64">
        <f t="shared" si="14"/>
        <v>264.3</v>
      </c>
      <c r="K76" s="73">
        <f t="shared" si="15"/>
        <v>50</v>
      </c>
      <c r="L76" s="64">
        <f t="shared" si="7"/>
        <v>314.3</v>
      </c>
      <c r="M76" s="66">
        <f t="shared" si="8"/>
        <v>314.3</v>
      </c>
      <c r="N76" s="66">
        <f t="shared" si="9"/>
        <v>50</v>
      </c>
      <c r="O76" s="67">
        <f t="shared" si="10"/>
        <v>0</v>
      </c>
      <c r="P76" s="64">
        <f t="shared" si="11"/>
        <v>118.17000000000002</v>
      </c>
      <c r="Q76" s="64">
        <f t="shared" si="1"/>
        <v>146.13</v>
      </c>
      <c r="R76" s="64">
        <f>IF(ISTEXT($I$40),"",SUM(P$53:P76))</f>
        <v>2582.1200000000003</v>
      </c>
      <c r="S76" s="64">
        <f>IF(ISTEXT($I$40),"",SUM(Q$53:Q76))</f>
        <v>3761.0799999999995</v>
      </c>
      <c r="T76" s="64">
        <f t="shared" si="2"/>
        <v>17417.879999999994</v>
      </c>
      <c r="V76" s="68">
        <f t="shared" si="16"/>
        <v>1200</v>
      </c>
      <c r="W76" s="55"/>
      <c r="X76" s="55"/>
      <c r="Y76" s="55"/>
      <c r="AC76" s="62">
        <f>VLOOKUP(Y$355,W$344:X$355,1)</f>
        <v>12</v>
      </c>
      <c r="AD76" s="69">
        <f t="shared" si="12"/>
        <v>38687</v>
      </c>
      <c r="AE76" s="69">
        <f t="shared" si="13"/>
        <v>38687</v>
      </c>
    </row>
    <row r="77" spans="2:31" ht="11.25" customHeight="1">
      <c r="B77" s="59">
        <f t="shared" si="3"/>
        <v>2006</v>
      </c>
      <c r="C77" s="57">
        <f>VLOOKUP(Y$344,W$344:$X$355,1)</f>
        <v>1</v>
      </c>
      <c r="D77" s="55">
        <f t="shared" si="4"/>
        <v>1</v>
      </c>
      <c r="E77" s="61">
        <f>IF(Y344=1,$T$43+2,E76)</f>
        <v>2006</v>
      </c>
      <c r="F77" s="62" t="str">
        <f>VLOOKUP(Y$344,W$344:X$355,2)</f>
        <v>Jan</v>
      </c>
      <c r="G77" s="63">
        <f t="shared" si="0"/>
        <v>1</v>
      </c>
      <c r="H77" s="63">
        <f t="shared" si="5"/>
        <v>0</v>
      </c>
      <c r="I77" s="64">
        <f t="shared" si="6"/>
        <v>17417.879999999994</v>
      </c>
      <c r="J77" s="64">
        <f t="shared" si="14"/>
        <v>264.3</v>
      </c>
      <c r="K77" s="73">
        <f t="shared" si="15"/>
        <v>50</v>
      </c>
      <c r="L77" s="64">
        <f t="shared" si="7"/>
        <v>314.3</v>
      </c>
      <c r="M77" s="66">
        <f t="shared" si="8"/>
        <v>314.3</v>
      </c>
      <c r="N77" s="66">
        <f t="shared" si="9"/>
        <v>50</v>
      </c>
      <c r="O77" s="67">
        <f t="shared" si="10"/>
        <v>0</v>
      </c>
      <c r="P77" s="64">
        <f t="shared" si="11"/>
        <v>119.15</v>
      </c>
      <c r="Q77" s="64">
        <f t="shared" si="1"/>
        <v>145.15</v>
      </c>
      <c r="R77" s="64">
        <f>IF(ISTEXT($I$40),"",SUM(P$53:P77))</f>
        <v>2701.2700000000004</v>
      </c>
      <c r="S77" s="64">
        <f>IF(ISTEXT($I$40),"",SUM(Q$53:Q77))</f>
        <v>3906.2299999999996</v>
      </c>
      <c r="T77" s="64">
        <f t="shared" si="2"/>
        <v>17298.729999999992</v>
      </c>
      <c r="V77" s="68">
        <f t="shared" si="16"/>
        <v>1250</v>
      </c>
      <c r="W77" s="55"/>
      <c r="X77" s="55"/>
      <c r="Y77" s="55"/>
      <c r="AC77" s="62">
        <f>VLOOKUP(Y$344,W$344:X$355,1)</f>
        <v>1</v>
      </c>
      <c r="AD77" s="69">
        <f t="shared" si="12"/>
        <v>38718</v>
      </c>
      <c r="AE77" s="69">
        <f t="shared" si="13"/>
        <v>38718</v>
      </c>
    </row>
    <row r="78" spans="2:31" ht="11.25" customHeight="1">
      <c r="B78" s="59">
        <f t="shared" si="3"/>
        <v>2006</v>
      </c>
      <c r="C78" s="57">
        <f>VLOOKUP(Y$345,W$344:$X$355,1)</f>
        <v>2</v>
      </c>
      <c r="D78" s="55">
        <f t="shared" si="4"/>
        <v>1</v>
      </c>
      <c r="E78" s="61">
        <f aca="true" t="shared" si="18" ref="E78:E88">IF(Y345=1,$T$43+3,E77)</f>
        <v>2006</v>
      </c>
      <c r="F78" s="62" t="str">
        <f>VLOOKUP(Y$345,W$344:X$355,2)</f>
        <v>Feb</v>
      </c>
      <c r="G78" s="63">
        <f t="shared" si="0"/>
        <v>1</v>
      </c>
      <c r="H78" s="63">
        <f t="shared" si="5"/>
        <v>0</v>
      </c>
      <c r="I78" s="64">
        <f t="shared" si="6"/>
        <v>17298.729999999992</v>
      </c>
      <c r="J78" s="64">
        <f t="shared" si="14"/>
        <v>264.3</v>
      </c>
      <c r="K78" s="73">
        <f t="shared" si="15"/>
        <v>50</v>
      </c>
      <c r="L78" s="64">
        <f t="shared" si="7"/>
        <v>314.3</v>
      </c>
      <c r="M78" s="66">
        <f t="shared" si="8"/>
        <v>314.3</v>
      </c>
      <c r="N78" s="66">
        <f t="shared" si="9"/>
        <v>50</v>
      </c>
      <c r="O78" s="67">
        <f t="shared" si="10"/>
        <v>0</v>
      </c>
      <c r="P78" s="64">
        <f t="shared" si="11"/>
        <v>120.14000000000001</v>
      </c>
      <c r="Q78" s="64">
        <f t="shared" si="1"/>
        <v>144.16</v>
      </c>
      <c r="R78" s="64">
        <f>IF(ISTEXT($I$40),"",SUM(P$53:P78))</f>
        <v>2821.4100000000003</v>
      </c>
      <c r="S78" s="64">
        <f>IF(ISTEXT($I$40),"",SUM(Q$53:Q78))</f>
        <v>4050.3899999999994</v>
      </c>
      <c r="T78" s="64">
        <f t="shared" si="2"/>
        <v>17178.589999999993</v>
      </c>
      <c r="V78" s="68">
        <f t="shared" si="16"/>
        <v>1300</v>
      </c>
      <c r="W78" s="55"/>
      <c r="X78" s="55"/>
      <c r="Y78" s="55"/>
      <c r="AC78" s="62">
        <f>VLOOKUP(Y$345,W$344:X$355,1)</f>
        <v>2</v>
      </c>
      <c r="AD78" s="69">
        <f t="shared" si="12"/>
        <v>38749</v>
      </c>
      <c r="AE78" s="69">
        <f t="shared" si="13"/>
        <v>38749</v>
      </c>
    </row>
    <row r="79" spans="2:31" ht="11.25" customHeight="1">
      <c r="B79" s="59">
        <f t="shared" si="3"/>
        <v>2006</v>
      </c>
      <c r="C79" s="57">
        <f>VLOOKUP(Y$346,W$344:$X$355,1)</f>
        <v>3</v>
      </c>
      <c r="D79" s="55">
        <f t="shared" si="4"/>
        <v>1</v>
      </c>
      <c r="E79" s="61">
        <f t="shared" si="18"/>
        <v>2006</v>
      </c>
      <c r="F79" s="62" t="str">
        <f>VLOOKUP(Y$346,W$344:X$355,2)</f>
        <v>Mar</v>
      </c>
      <c r="G79" s="63">
        <f t="shared" si="0"/>
        <v>1</v>
      </c>
      <c r="H79" s="63">
        <f t="shared" si="5"/>
        <v>0</v>
      </c>
      <c r="I79" s="64">
        <f t="shared" si="6"/>
        <v>17178.589999999993</v>
      </c>
      <c r="J79" s="64">
        <f t="shared" si="14"/>
        <v>264.3</v>
      </c>
      <c r="K79" s="73">
        <f t="shared" si="15"/>
        <v>50</v>
      </c>
      <c r="L79" s="64">
        <f t="shared" si="7"/>
        <v>314.3</v>
      </c>
      <c r="M79" s="66">
        <f t="shared" si="8"/>
        <v>314.3</v>
      </c>
      <c r="N79" s="66">
        <f t="shared" si="9"/>
        <v>50</v>
      </c>
      <c r="O79" s="67">
        <f t="shared" si="10"/>
        <v>0</v>
      </c>
      <c r="P79" s="64">
        <f t="shared" si="11"/>
        <v>121.15</v>
      </c>
      <c r="Q79" s="64">
        <f t="shared" si="1"/>
        <v>143.15</v>
      </c>
      <c r="R79" s="64">
        <f>IF(ISTEXT($I$40),"",SUM(P$53:P79))</f>
        <v>2942.5600000000004</v>
      </c>
      <c r="S79" s="64">
        <f>IF(ISTEXT($I$40),"",SUM(Q$53:Q79))</f>
        <v>4193.539999999999</v>
      </c>
      <c r="T79" s="64">
        <f t="shared" si="2"/>
        <v>17057.43999999999</v>
      </c>
      <c r="V79" s="68">
        <f t="shared" si="16"/>
        <v>1350</v>
      </c>
      <c r="W79" s="55"/>
      <c r="X79" s="55"/>
      <c r="Y79" s="55"/>
      <c r="AC79" s="62">
        <f>VLOOKUP(Y$346,W$344:X$355,1)</f>
        <v>3</v>
      </c>
      <c r="AD79" s="69">
        <f t="shared" si="12"/>
        <v>38777</v>
      </c>
      <c r="AE79" s="69">
        <f t="shared" si="13"/>
        <v>38777</v>
      </c>
    </row>
    <row r="80" spans="2:31" ht="11.25" customHeight="1">
      <c r="B80" s="59">
        <f t="shared" si="3"/>
        <v>2006</v>
      </c>
      <c r="C80" s="57">
        <f>VLOOKUP(Y$347,W$344:$X$355,1)</f>
        <v>4</v>
      </c>
      <c r="D80" s="55">
        <f t="shared" si="4"/>
        <v>1</v>
      </c>
      <c r="E80" s="61">
        <f t="shared" si="18"/>
        <v>2006</v>
      </c>
      <c r="F80" s="62" t="str">
        <f>VLOOKUP(Y$347,W$344:X$355,2)</f>
        <v>Apr</v>
      </c>
      <c r="G80" s="63">
        <f t="shared" si="0"/>
        <v>1</v>
      </c>
      <c r="H80" s="63">
        <f t="shared" si="5"/>
        <v>0</v>
      </c>
      <c r="I80" s="64">
        <f t="shared" si="6"/>
        <v>17057.43999999999</v>
      </c>
      <c r="J80" s="64">
        <f t="shared" si="14"/>
        <v>264.3</v>
      </c>
      <c r="K80" s="73">
        <f t="shared" si="15"/>
        <v>50</v>
      </c>
      <c r="L80" s="64">
        <f t="shared" si="7"/>
        <v>314.3</v>
      </c>
      <c r="M80" s="66">
        <f t="shared" si="8"/>
        <v>314.3</v>
      </c>
      <c r="N80" s="66">
        <f t="shared" si="9"/>
        <v>50</v>
      </c>
      <c r="O80" s="67">
        <f t="shared" si="10"/>
        <v>0</v>
      </c>
      <c r="P80" s="64">
        <f t="shared" si="11"/>
        <v>122.15</v>
      </c>
      <c r="Q80" s="64">
        <f t="shared" si="1"/>
        <v>142.15</v>
      </c>
      <c r="R80" s="64">
        <f>IF(ISTEXT($I$40),"",SUM(P$53:P80))</f>
        <v>3064.7100000000005</v>
      </c>
      <c r="S80" s="64">
        <f>IF(ISTEXT($I$40),"",SUM(Q$53:Q80))</f>
        <v>4335.689999999999</v>
      </c>
      <c r="T80" s="64">
        <f t="shared" si="2"/>
        <v>16935.28999999999</v>
      </c>
      <c r="V80" s="68">
        <f t="shared" si="16"/>
        <v>1400</v>
      </c>
      <c r="W80" s="55"/>
      <c r="X80" s="55"/>
      <c r="Y80" s="55"/>
      <c r="AC80" s="62">
        <f>VLOOKUP(Y$347,W$344:X$355,1)</f>
        <v>4</v>
      </c>
      <c r="AD80" s="69">
        <f t="shared" si="12"/>
        <v>38808</v>
      </c>
      <c r="AE80" s="69">
        <f t="shared" si="13"/>
        <v>38808</v>
      </c>
    </row>
    <row r="81" spans="2:31" ht="11.25" customHeight="1">
      <c r="B81" s="59">
        <f t="shared" si="3"/>
        <v>2006</v>
      </c>
      <c r="C81" s="57">
        <f>VLOOKUP(Y$348,W$344:$X$355,1)</f>
        <v>5</v>
      </c>
      <c r="D81" s="55">
        <f t="shared" si="4"/>
        <v>1</v>
      </c>
      <c r="E81" s="61">
        <f t="shared" si="18"/>
        <v>2006</v>
      </c>
      <c r="F81" s="62" t="str">
        <f>VLOOKUP(Y$348,W$344:X$355,2)</f>
        <v>May</v>
      </c>
      <c r="G81" s="63">
        <f t="shared" si="0"/>
        <v>1</v>
      </c>
      <c r="H81" s="63">
        <f t="shared" si="5"/>
        <v>0</v>
      </c>
      <c r="I81" s="64">
        <f t="shared" si="6"/>
        <v>16935.28999999999</v>
      </c>
      <c r="J81" s="64">
        <f t="shared" si="14"/>
        <v>264.3</v>
      </c>
      <c r="K81" s="73">
        <f t="shared" si="15"/>
        <v>50</v>
      </c>
      <c r="L81" s="64">
        <f t="shared" si="7"/>
        <v>314.3</v>
      </c>
      <c r="M81" s="66">
        <f t="shared" si="8"/>
        <v>314.3</v>
      </c>
      <c r="N81" s="66">
        <f t="shared" si="9"/>
        <v>50</v>
      </c>
      <c r="O81" s="67">
        <f t="shared" si="10"/>
        <v>0</v>
      </c>
      <c r="P81" s="64">
        <f t="shared" si="11"/>
        <v>123.17000000000002</v>
      </c>
      <c r="Q81" s="64">
        <f t="shared" si="1"/>
        <v>141.13</v>
      </c>
      <c r="R81" s="64">
        <f>IF(ISTEXT($I$40),"",SUM(P$53:P81))</f>
        <v>3187.8800000000006</v>
      </c>
      <c r="S81" s="64">
        <f>IF(ISTEXT($I$40),"",SUM(Q$53:Q81))</f>
        <v>4476.819999999999</v>
      </c>
      <c r="T81" s="64">
        <f t="shared" si="2"/>
        <v>16812.11999999999</v>
      </c>
      <c r="V81" s="68">
        <f t="shared" si="16"/>
        <v>1450</v>
      </c>
      <c r="W81" s="55"/>
      <c r="X81" s="55"/>
      <c r="Y81" s="55"/>
      <c r="AC81" s="62">
        <f>VLOOKUP(Y$348,W$344:X$355,1)</f>
        <v>5</v>
      </c>
      <c r="AD81" s="69">
        <f t="shared" si="12"/>
        <v>38838</v>
      </c>
      <c r="AE81" s="69">
        <f t="shared" si="13"/>
        <v>38838</v>
      </c>
    </row>
    <row r="82" spans="2:31" ht="11.25" customHeight="1">
      <c r="B82" s="59">
        <f t="shared" si="3"/>
        <v>2006</v>
      </c>
      <c r="C82" s="57">
        <f>VLOOKUP(Y$349,W$344:$X$355,1)</f>
        <v>6</v>
      </c>
      <c r="D82" s="55">
        <f t="shared" si="4"/>
        <v>1</v>
      </c>
      <c r="E82" s="61">
        <f t="shared" si="18"/>
        <v>2006</v>
      </c>
      <c r="F82" s="62" t="str">
        <f>VLOOKUP(Y$349,W$344:X$355,2)</f>
        <v>Jun</v>
      </c>
      <c r="G82" s="63">
        <f t="shared" si="0"/>
        <v>1</v>
      </c>
      <c r="H82" s="63">
        <f t="shared" si="5"/>
        <v>0</v>
      </c>
      <c r="I82" s="64">
        <f t="shared" si="6"/>
        <v>16812.11999999999</v>
      </c>
      <c r="J82" s="64">
        <f t="shared" si="14"/>
        <v>264.3</v>
      </c>
      <c r="K82" s="73">
        <f t="shared" si="15"/>
        <v>50</v>
      </c>
      <c r="L82" s="64">
        <f t="shared" si="7"/>
        <v>314.3</v>
      </c>
      <c r="M82" s="66">
        <f t="shared" si="8"/>
        <v>314.3</v>
      </c>
      <c r="N82" s="66">
        <f t="shared" si="9"/>
        <v>50</v>
      </c>
      <c r="O82" s="67">
        <f t="shared" si="10"/>
        <v>0</v>
      </c>
      <c r="P82" s="64">
        <f t="shared" si="11"/>
        <v>124.20000000000002</v>
      </c>
      <c r="Q82" s="64">
        <f t="shared" si="1"/>
        <v>140.1</v>
      </c>
      <c r="R82" s="64">
        <f>IF(ISTEXT($I$40),"",SUM(P$53:P82))</f>
        <v>3312.0800000000004</v>
      </c>
      <c r="S82" s="64">
        <f>IF(ISTEXT($I$40),"",SUM(Q$53:Q82))</f>
        <v>4616.919999999999</v>
      </c>
      <c r="T82" s="64">
        <f t="shared" si="2"/>
        <v>16687.91999999999</v>
      </c>
      <c r="V82" s="68">
        <f t="shared" si="16"/>
        <v>1500</v>
      </c>
      <c r="W82" s="55"/>
      <c r="X82" s="55"/>
      <c r="Y82" s="55"/>
      <c r="AC82" s="62">
        <f>VLOOKUP(Y$349,W$344:X$355,1)</f>
        <v>6</v>
      </c>
      <c r="AD82" s="69">
        <f t="shared" si="12"/>
        <v>38869</v>
      </c>
      <c r="AE82" s="69">
        <f t="shared" si="13"/>
        <v>38869</v>
      </c>
    </row>
    <row r="83" spans="2:31" ht="11.25" customHeight="1">
      <c r="B83" s="59">
        <f t="shared" si="3"/>
        <v>2006</v>
      </c>
      <c r="C83" s="57">
        <f>VLOOKUP(Y$350,W$344:$X$355,1)</f>
        <v>7</v>
      </c>
      <c r="D83" s="55">
        <f t="shared" si="4"/>
        <v>1</v>
      </c>
      <c r="E83" s="61">
        <f t="shared" si="18"/>
        <v>2006</v>
      </c>
      <c r="F83" s="62" t="str">
        <f>VLOOKUP(Y$350,W$344:X$355,2)</f>
        <v>Jul</v>
      </c>
      <c r="G83" s="63">
        <f t="shared" si="0"/>
        <v>1</v>
      </c>
      <c r="H83" s="63">
        <f t="shared" si="5"/>
        <v>0</v>
      </c>
      <c r="I83" s="64">
        <f t="shared" si="6"/>
        <v>16687.91999999999</v>
      </c>
      <c r="J83" s="64">
        <f t="shared" si="14"/>
        <v>264.3</v>
      </c>
      <c r="K83" s="73">
        <f t="shared" si="15"/>
        <v>50</v>
      </c>
      <c r="L83" s="64">
        <f t="shared" si="7"/>
        <v>314.3</v>
      </c>
      <c r="M83" s="66">
        <f t="shared" si="8"/>
        <v>314.3</v>
      </c>
      <c r="N83" s="66">
        <f t="shared" si="9"/>
        <v>50</v>
      </c>
      <c r="O83" s="67">
        <f t="shared" si="10"/>
        <v>0</v>
      </c>
      <c r="P83" s="64">
        <f t="shared" si="11"/>
        <v>125.23000000000002</v>
      </c>
      <c r="Q83" s="64">
        <f t="shared" si="1"/>
        <v>139.07</v>
      </c>
      <c r="R83" s="64">
        <f>IF(ISTEXT($I$40),"",SUM(P$53:P83))</f>
        <v>3437.3100000000004</v>
      </c>
      <c r="S83" s="64">
        <f>IF(ISTEXT($I$40),"",SUM(Q$53:Q83))</f>
        <v>4755.989999999999</v>
      </c>
      <c r="T83" s="64">
        <f t="shared" si="2"/>
        <v>16562.68999999999</v>
      </c>
      <c r="V83" s="68">
        <f t="shared" si="16"/>
        <v>1550</v>
      </c>
      <c r="W83" s="55"/>
      <c r="X83" s="55"/>
      <c r="Y83" s="55"/>
      <c r="AC83" s="62">
        <f>VLOOKUP(Y$350,W$344:X$355,1)</f>
        <v>7</v>
      </c>
      <c r="AD83" s="69">
        <f t="shared" si="12"/>
        <v>38899</v>
      </c>
      <c r="AE83" s="69">
        <f t="shared" si="13"/>
        <v>38899</v>
      </c>
    </row>
    <row r="84" spans="2:31" ht="11.25" customHeight="1">
      <c r="B84" s="59">
        <f t="shared" si="3"/>
        <v>2006</v>
      </c>
      <c r="C84" s="57">
        <f>VLOOKUP(Y$351,W$344:$X$355,1)</f>
        <v>8</v>
      </c>
      <c r="D84" s="55">
        <f t="shared" si="4"/>
        <v>1</v>
      </c>
      <c r="E84" s="61">
        <f t="shared" si="18"/>
        <v>2006</v>
      </c>
      <c r="F84" s="62" t="str">
        <f>VLOOKUP(Y$351,W$344:X$355,2)</f>
        <v>Aug</v>
      </c>
      <c r="G84" s="63">
        <f t="shared" si="0"/>
        <v>1</v>
      </c>
      <c r="H84" s="63">
        <f t="shared" si="5"/>
        <v>0</v>
      </c>
      <c r="I84" s="64">
        <f t="shared" si="6"/>
        <v>16562.68999999999</v>
      </c>
      <c r="J84" s="64">
        <f t="shared" si="14"/>
        <v>264.3</v>
      </c>
      <c r="K84" s="73">
        <f t="shared" si="15"/>
        <v>50</v>
      </c>
      <c r="L84" s="64">
        <f t="shared" si="7"/>
        <v>314.3</v>
      </c>
      <c r="M84" s="66">
        <f t="shared" si="8"/>
        <v>314.3</v>
      </c>
      <c r="N84" s="66">
        <f t="shared" si="9"/>
        <v>50</v>
      </c>
      <c r="O84" s="67">
        <f t="shared" si="10"/>
        <v>0</v>
      </c>
      <c r="P84" s="64">
        <f t="shared" si="11"/>
        <v>126.28</v>
      </c>
      <c r="Q84" s="64">
        <f t="shared" si="1"/>
        <v>138.02</v>
      </c>
      <c r="R84" s="64">
        <f>IF(ISTEXT($I$40),"",SUM(P$53:P84))</f>
        <v>3563.5900000000006</v>
      </c>
      <c r="S84" s="64">
        <f>IF(ISTEXT($I$40),"",SUM(Q$53:Q84))</f>
        <v>4894.009999999999</v>
      </c>
      <c r="T84" s="64">
        <f t="shared" si="2"/>
        <v>16436.409999999993</v>
      </c>
      <c r="V84" s="68">
        <f t="shared" si="16"/>
        <v>1600</v>
      </c>
      <c r="W84" s="55"/>
      <c r="X84" s="55"/>
      <c r="Y84" s="55"/>
      <c r="AC84" s="62">
        <f>VLOOKUP(Y$351,W$344:X$355,1)</f>
        <v>8</v>
      </c>
      <c r="AD84" s="69">
        <f t="shared" si="12"/>
        <v>38930</v>
      </c>
      <c r="AE84" s="69">
        <f t="shared" si="13"/>
        <v>38930</v>
      </c>
    </row>
    <row r="85" spans="2:31" ht="11.25" customHeight="1">
      <c r="B85" s="59">
        <f t="shared" si="3"/>
        <v>2006</v>
      </c>
      <c r="C85" s="57">
        <f>VLOOKUP(Y$352,W$344:$X$355,1)</f>
        <v>9</v>
      </c>
      <c r="D85" s="55">
        <f t="shared" si="4"/>
        <v>1</v>
      </c>
      <c r="E85" s="61">
        <f t="shared" si="18"/>
        <v>2006</v>
      </c>
      <c r="F85" s="62" t="str">
        <f>VLOOKUP(Y$352,W$344:X$355,2)</f>
        <v>Sep</v>
      </c>
      <c r="G85" s="63">
        <f aca="true" t="shared" si="19" ref="G85:G116">$T$45</f>
        <v>1</v>
      </c>
      <c r="H85" s="63">
        <f t="shared" si="5"/>
        <v>0</v>
      </c>
      <c r="I85" s="64">
        <f t="shared" si="6"/>
        <v>16436.409999999993</v>
      </c>
      <c r="J85" s="64">
        <f t="shared" si="14"/>
        <v>264.3</v>
      </c>
      <c r="K85" s="73">
        <f t="shared" si="15"/>
        <v>50</v>
      </c>
      <c r="L85" s="64">
        <f t="shared" si="7"/>
        <v>314.3</v>
      </c>
      <c r="M85" s="66">
        <f t="shared" si="8"/>
        <v>314.3</v>
      </c>
      <c r="N85" s="66">
        <f t="shared" si="9"/>
        <v>50</v>
      </c>
      <c r="O85" s="67">
        <f t="shared" si="10"/>
        <v>0</v>
      </c>
      <c r="P85" s="64">
        <f t="shared" si="11"/>
        <v>127.33000000000001</v>
      </c>
      <c r="Q85" s="64">
        <f aca="true" t="shared" si="20" ref="Q85:Q116">IF(ISTEXT(I$40),"",ROUND(I85*(T$41/12),2))</f>
        <v>136.97</v>
      </c>
      <c r="R85" s="64">
        <f>IF(ISTEXT($I$40),"",SUM(P$53:P85))</f>
        <v>3690.9200000000005</v>
      </c>
      <c r="S85" s="64">
        <f>IF(ISTEXT($I$40),"",SUM(Q$53:Q85))</f>
        <v>5030.98</v>
      </c>
      <c r="T85" s="64">
        <f aca="true" t="shared" si="21" ref="T85:T116">IF(ISTEXT(I$40),"",I85-P85)</f>
        <v>16309.079999999993</v>
      </c>
      <c r="V85" s="68">
        <f t="shared" si="16"/>
        <v>1650</v>
      </c>
      <c r="W85" s="55"/>
      <c r="X85" s="55"/>
      <c r="Y85" s="55"/>
      <c r="AC85" s="62">
        <f>VLOOKUP(Y$352,W$344:X$355,1)</f>
        <v>9</v>
      </c>
      <c r="AD85" s="69">
        <f t="shared" si="12"/>
        <v>38961</v>
      </c>
      <c r="AE85" s="69">
        <f t="shared" si="13"/>
        <v>38961</v>
      </c>
    </row>
    <row r="86" spans="2:31" ht="11.25" customHeight="1">
      <c r="B86" s="59">
        <f t="shared" si="3"/>
        <v>2006</v>
      </c>
      <c r="C86" s="57">
        <f>VLOOKUP(Y$353,W$344:$X$355,1)</f>
        <v>10</v>
      </c>
      <c r="D86" s="55">
        <f t="shared" si="4"/>
        <v>1</v>
      </c>
      <c r="E86" s="61">
        <f t="shared" si="18"/>
        <v>2006</v>
      </c>
      <c r="F86" s="62" t="str">
        <f>VLOOKUP(Y$353,W$344:X$355,2)</f>
        <v>Oct</v>
      </c>
      <c r="G86" s="63">
        <f t="shared" si="19"/>
        <v>1</v>
      </c>
      <c r="H86" s="63">
        <f t="shared" si="5"/>
        <v>0</v>
      </c>
      <c r="I86" s="64">
        <f aca="true" t="shared" si="22" ref="I86:I117">IF(ISTEXT(I$40),"",T85)</f>
        <v>16309.079999999993</v>
      </c>
      <c r="J86" s="64">
        <f t="shared" si="14"/>
        <v>264.3</v>
      </c>
      <c r="K86" s="73">
        <f t="shared" si="15"/>
        <v>50</v>
      </c>
      <c r="L86" s="64">
        <f t="shared" si="7"/>
        <v>314.3</v>
      </c>
      <c r="M86" s="66">
        <f t="shared" si="8"/>
        <v>314.3</v>
      </c>
      <c r="N86" s="66">
        <f t="shared" si="9"/>
        <v>50</v>
      </c>
      <c r="O86" s="67">
        <f t="shared" si="10"/>
        <v>0</v>
      </c>
      <c r="P86" s="64">
        <f t="shared" si="11"/>
        <v>128.39000000000001</v>
      </c>
      <c r="Q86" s="64">
        <f t="shared" si="20"/>
        <v>135.91</v>
      </c>
      <c r="R86" s="64">
        <f>IF(ISTEXT($I$40),"",SUM(P$53:P86))</f>
        <v>3819.3100000000004</v>
      </c>
      <c r="S86" s="64">
        <f>IF(ISTEXT($I$40),"",SUM(Q$53:Q86))</f>
        <v>5166.889999999999</v>
      </c>
      <c r="T86" s="64">
        <f t="shared" si="21"/>
        <v>16180.689999999993</v>
      </c>
      <c r="V86" s="68">
        <f t="shared" si="16"/>
        <v>1700</v>
      </c>
      <c r="W86" s="55"/>
      <c r="X86" s="55"/>
      <c r="Y86" s="55"/>
      <c r="AC86" s="62">
        <f>VLOOKUP(Y$353,W$344:X$355,1)</f>
        <v>10</v>
      </c>
      <c r="AD86" s="69">
        <f t="shared" si="12"/>
        <v>38991</v>
      </c>
      <c r="AE86" s="69">
        <f t="shared" si="13"/>
        <v>38991</v>
      </c>
    </row>
    <row r="87" spans="2:31" ht="11.25" customHeight="1">
      <c r="B87" s="59">
        <f t="shared" si="3"/>
        <v>2006</v>
      </c>
      <c r="C87" s="57">
        <f>VLOOKUP(Y$354,W$344:$X$355,1)</f>
        <v>11</v>
      </c>
      <c r="D87" s="55">
        <f t="shared" si="4"/>
        <v>1</v>
      </c>
      <c r="E87" s="61">
        <f t="shared" si="18"/>
        <v>2006</v>
      </c>
      <c r="F87" s="62" t="str">
        <f>VLOOKUP(Y$354,W$344:X$355,2)</f>
        <v>Nov</v>
      </c>
      <c r="G87" s="63">
        <f t="shared" si="19"/>
        <v>1</v>
      </c>
      <c r="H87" s="63">
        <f t="shared" si="5"/>
        <v>0</v>
      </c>
      <c r="I87" s="64">
        <f t="shared" si="22"/>
        <v>16180.689999999993</v>
      </c>
      <c r="J87" s="64">
        <f t="shared" si="14"/>
        <v>264.3</v>
      </c>
      <c r="K87" s="73">
        <f t="shared" si="15"/>
        <v>50</v>
      </c>
      <c r="L87" s="64">
        <f t="shared" si="7"/>
        <v>314.3</v>
      </c>
      <c r="M87" s="66">
        <f t="shared" si="8"/>
        <v>314.3</v>
      </c>
      <c r="N87" s="66">
        <f t="shared" si="9"/>
        <v>50</v>
      </c>
      <c r="O87" s="67">
        <f t="shared" si="10"/>
        <v>0</v>
      </c>
      <c r="P87" s="64">
        <f t="shared" si="11"/>
        <v>129.46</v>
      </c>
      <c r="Q87" s="64">
        <f t="shared" si="20"/>
        <v>134.84</v>
      </c>
      <c r="R87" s="64">
        <f>IF(ISTEXT($I$40),"",SUM(P$53:P87))</f>
        <v>3948.7700000000004</v>
      </c>
      <c r="S87" s="64">
        <f>IF(ISTEXT($I$40),"",SUM(Q$53:Q87))</f>
        <v>5301.73</v>
      </c>
      <c r="T87" s="64">
        <f t="shared" si="21"/>
        <v>16051.229999999994</v>
      </c>
      <c r="V87" s="68">
        <f t="shared" si="16"/>
        <v>1750</v>
      </c>
      <c r="W87" s="55"/>
      <c r="X87" s="55"/>
      <c r="Y87" s="55"/>
      <c r="AC87" s="62">
        <f>VLOOKUP(Y$354,W$344:X$355,1)</f>
        <v>11</v>
      </c>
      <c r="AD87" s="69">
        <f t="shared" si="12"/>
        <v>39022</v>
      </c>
      <c r="AE87" s="69">
        <f t="shared" si="13"/>
        <v>39022</v>
      </c>
    </row>
    <row r="88" spans="2:31" ht="11.25" customHeight="1">
      <c r="B88" s="59">
        <f t="shared" si="3"/>
        <v>2006</v>
      </c>
      <c r="C88" s="57">
        <f>VLOOKUP(Y$355,W$344:$X$355,1)</f>
        <v>12</v>
      </c>
      <c r="D88" s="55">
        <f t="shared" si="4"/>
        <v>1</v>
      </c>
      <c r="E88" s="61">
        <f t="shared" si="18"/>
        <v>2006</v>
      </c>
      <c r="F88" s="62" t="str">
        <f>VLOOKUP(Y$355,W$344:X$355,2)</f>
        <v>Dec</v>
      </c>
      <c r="G88" s="63">
        <f t="shared" si="19"/>
        <v>1</v>
      </c>
      <c r="H88" s="63">
        <f t="shared" si="5"/>
        <v>0</v>
      </c>
      <c r="I88" s="64">
        <f t="shared" si="22"/>
        <v>16051.229999999994</v>
      </c>
      <c r="J88" s="64">
        <f t="shared" si="14"/>
        <v>264.3</v>
      </c>
      <c r="K88" s="73">
        <f t="shared" si="15"/>
        <v>50</v>
      </c>
      <c r="L88" s="64">
        <f t="shared" si="7"/>
        <v>314.3</v>
      </c>
      <c r="M88" s="66">
        <f t="shared" si="8"/>
        <v>314.3</v>
      </c>
      <c r="N88" s="66">
        <f t="shared" si="9"/>
        <v>50</v>
      </c>
      <c r="O88" s="67">
        <f t="shared" si="10"/>
        <v>0</v>
      </c>
      <c r="P88" s="64">
        <f t="shared" si="11"/>
        <v>130.54000000000002</v>
      </c>
      <c r="Q88" s="64">
        <f t="shared" si="20"/>
        <v>133.76</v>
      </c>
      <c r="R88" s="64">
        <f>IF(ISTEXT($I$40),"",SUM(P$53:P88))</f>
        <v>4079.3100000000004</v>
      </c>
      <c r="S88" s="64">
        <f>IF(ISTEXT($I$40),"",SUM(Q$53:Q88))</f>
        <v>5435.49</v>
      </c>
      <c r="T88" s="64">
        <f t="shared" si="21"/>
        <v>15920.689999999993</v>
      </c>
      <c r="V88" s="68">
        <f t="shared" si="16"/>
        <v>1800</v>
      </c>
      <c r="W88" s="55"/>
      <c r="X88" s="55"/>
      <c r="Y88" s="55"/>
      <c r="AC88" s="62">
        <f>VLOOKUP(Y$355,W$344:X$355,1)</f>
        <v>12</v>
      </c>
      <c r="AD88" s="69">
        <f t="shared" si="12"/>
        <v>39052</v>
      </c>
      <c r="AE88" s="69">
        <f t="shared" si="13"/>
        <v>39052</v>
      </c>
    </row>
    <row r="89" spans="2:31" ht="11.25" customHeight="1">
      <c r="B89" s="59">
        <f t="shared" si="3"/>
        <v>2007</v>
      </c>
      <c r="C89" s="57">
        <f>VLOOKUP(Y$344,W$344:$X$355,1)</f>
        <v>1</v>
      </c>
      <c r="D89" s="55">
        <f t="shared" si="4"/>
        <v>1</v>
      </c>
      <c r="E89" s="61">
        <f>IF(Y$344=1,$T$43+3,E88)</f>
        <v>2007</v>
      </c>
      <c r="F89" s="62" t="str">
        <f>VLOOKUP(Y$344,W$344:X$355,2)</f>
        <v>Jan</v>
      </c>
      <c r="G89" s="63">
        <f t="shared" si="19"/>
        <v>1</v>
      </c>
      <c r="H89" s="63">
        <f t="shared" si="5"/>
        <v>0</v>
      </c>
      <c r="I89" s="64">
        <f t="shared" si="22"/>
        <v>15920.689999999993</v>
      </c>
      <c r="J89" s="64">
        <f t="shared" si="14"/>
        <v>264.3</v>
      </c>
      <c r="K89" s="73">
        <f t="shared" si="15"/>
        <v>50</v>
      </c>
      <c r="L89" s="64">
        <f t="shared" si="7"/>
        <v>314.3</v>
      </c>
      <c r="M89" s="66">
        <f t="shared" si="8"/>
        <v>314.3</v>
      </c>
      <c r="N89" s="66">
        <f t="shared" si="9"/>
        <v>50</v>
      </c>
      <c r="O89" s="67">
        <f t="shared" si="10"/>
        <v>0</v>
      </c>
      <c r="P89" s="64">
        <f t="shared" si="11"/>
        <v>131.63000000000002</v>
      </c>
      <c r="Q89" s="64">
        <f t="shared" si="20"/>
        <v>132.67</v>
      </c>
      <c r="R89" s="64">
        <f>IF(ISTEXT($I$40),"",SUM(P$53:P89))</f>
        <v>4210.9400000000005</v>
      </c>
      <c r="S89" s="64">
        <f>IF(ISTEXT($I$40),"",SUM(Q$53:Q89))</f>
        <v>5568.16</v>
      </c>
      <c r="T89" s="64">
        <f t="shared" si="21"/>
        <v>15789.059999999994</v>
      </c>
      <c r="V89" s="68">
        <f t="shared" si="16"/>
        <v>1850</v>
      </c>
      <c r="W89" s="55"/>
      <c r="X89" s="55"/>
      <c r="Y89" s="55"/>
      <c r="AC89" s="62">
        <f>VLOOKUP(Y$344,W$344:X$355,1)</f>
        <v>1</v>
      </c>
      <c r="AD89" s="69">
        <f t="shared" si="12"/>
        <v>39083</v>
      </c>
      <c r="AE89" s="69">
        <f t="shared" si="13"/>
        <v>39083</v>
      </c>
    </row>
    <row r="90" spans="2:31" ht="11.25" customHeight="1">
      <c r="B90" s="59">
        <f t="shared" si="3"/>
        <v>2007</v>
      </c>
      <c r="C90" s="57">
        <f>VLOOKUP(Y$345,W$344:$X$355,1)</f>
        <v>2</v>
      </c>
      <c r="D90" s="55">
        <f t="shared" si="4"/>
        <v>1</v>
      </c>
      <c r="E90" s="61">
        <f>IF(Y$345=1,$T$43+4,E89)</f>
        <v>2007</v>
      </c>
      <c r="F90" s="62" t="str">
        <f>VLOOKUP(Y$345,W$344:X$355,2)</f>
        <v>Feb</v>
      </c>
      <c r="G90" s="63">
        <f t="shared" si="19"/>
        <v>1</v>
      </c>
      <c r="H90" s="63">
        <f t="shared" si="5"/>
        <v>0</v>
      </c>
      <c r="I90" s="64">
        <f t="shared" si="22"/>
        <v>15789.059999999994</v>
      </c>
      <c r="J90" s="64">
        <f t="shared" si="14"/>
        <v>264.3</v>
      </c>
      <c r="K90" s="73">
        <f t="shared" si="15"/>
        <v>50</v>
      </c>
      <c r="L90" s="64">
        <f t="shared" si="7"/>
        <v>314.3</v>
      </c>
      <c r="M90" s="66">
        <f t="shared" si="8"/>
        <v>314.3</v>
      </c>
      <c r="N90" s="66">
        <f t="shared" si="9"/>
        <v>50</v>
      </c>
      <c r="O90" s="67">
        <f t="shared" si="10"/>
        <v>0</v>
      </c>
      <c r="P90" s="64">
        <f t="shared" si="11"/>
        <v>132.72</v>
      </c>
      <c r="Q90" s="64">
        <f t="shared" si="20"/>
        <v>131.58</v>
      </c>
      <c r="R90" s="64">
        <f>IF(ISTEXT($I$40),"",SUM(P$53:P90))</f>
        <v>4343.660000000001</v>
      </c>
      <c r="S90" s="64">
        <f>IF(ISTEXT($I$40),"",SUM(Q$53:Q90))</f>
        <v>5699.74</v>
      </c>
      <c r="T90" s="64">
        <f t="shared" si="21"/>
        <v>15656.339999999995</v>
      </c>
      <c r="V90" s="68">
        <f t="shared" si="16"/>
        <v>1900</v>
      </c>
      <c r="W90" s="55"/>
      <c r="X90" s="55"/>
      <c r="Y90" s="55"/>
      <c r="AC90" s="62">
        <f>VLOOKUP(Y$345,W$344:X$355,1)</f>
        <v>2</v>
      </c>
      <c r="AD90" s="69">
        <f t="shared" si="12"/>
        <v>39114</v>
      </c>
      <c r="AE90" s="69">
        <f t="shared" si="13"/>
        <v>39114</v>
      </c>
    </row>
    <row r="91" spans="2:31" ht="11.25" customHeight="1">
      <c r="B91" s="59">
        <f t="shared" si="3"/>
        <v>2007</v>
      </c>
      <c r="C91" s="57">
        <f>VLOOKUP(Y$346,W$344:$X$355,1)</f>
        <v>3</v>
      </c>
      <c r="D91" s="55">
        <f t="shared" si="4"/>
        <v>1</v>
      </c>
      <c r="E91" s="61">
        <f>IF(Y$346=1,$T$43+4,E90)</f>
        <v>2007</v>
      </c>
      <c r="F91" s="62" t="str">
        <f>VLOOKUP(Y$346,W$344:X$355,2)</f>
        <v>Mar</v>
      </c>
      <c r="G91" s="63">
        <f t="shared" si="19"/>
        <v>1</v>
      </c>
      <c r="H91" s="63">
        <f t="shared" si="5"/>
        <v>0</v>
      </c>
      <c r="I91" s="64">
        <f t="shared" si="22"/>
        <v>15656.339999999995</v>
      </c>
      <c r="J91" s="64">
        <f t="shared" si="14"/>
        <v>264.3</v>
      </c>
      <c r="K91" s="73">
        <f t="shared" si="15"/>
        <v>50</v>
      </c>
      <c r="L91" s="64">
        <f t="shared" si="7"/>
        <v>314.3</v>
      </c>
      <c r="M91" s="66">
        <f t="shared" si="8"/>
        <v>314.3</v>
      </c>
      <c r="N91" s="66">
        <f t="shared" si="9"/>
        <v>50</v>
      </c>
      <c r="O91" s="67">
        <f t="shared" si="10"/>
        <v>0</v>
      </c>
      <c r="P91" s="64">
        <f t="shared" si="11"/>
        <v>133.83</v>
      </c>
      <c r="Q91" s="64">
        <f t="shared" si="20"/>
        <v>130.47</v>
      </c>
      <c r="R91" s="64">
        <f>IF(ISTEXT($I$40),"",SUM(P$53:P91))</f>
        <v>4477.490000000001</v>
      </c>
      <c r="S91" s="64">
        <f>IF(ISTEXT($I$40),"",SUM(Q$53:Q91))</f>
        <v>5830.21</v>
      </c>
      <c r="T91" s="64">
        <f t="shared" si="21"/>
        <v>15522.509999999995</v>
      </c>
      <c r="V91" s="68">
        <f t="shared" si="16"/>
        <v>1950</v>
      </c>
      <c r="W91" s="55"/>
      <c r="X91" s="55"/>
      <c r="Y91" s="55"/>
      <c r="AC91" s="62">
        <f>VLOOKUP(Y$346,W$344:X$355,1)</f>
        <v>3</v>
      </c>
      <c r="AD91" s="69">
        <f t="shared" si="12"/>
        <v>39142</v>
      </c>
      <c r="AE91" s="69">
        <f t="shared" si="13"/>
        <v>39142</v>
      </c>
    </row>
    <row r="92" spans="2:31" ht="11.25" customHeight="1">
      <c r="B92" s="59">
        <f t="shared" si="3"/>
        <v>2007</v>
      </c>
      <c r="C92" s="57">
        <f>VLOOKUP(Y$347,W$344:$X$355,1)</f>
        <v>4</v>
      </c>
      <c r="D92" s="55">
        <f t="shared" si="4"/>
        <v>1</v>
      </c>
      <c r="E92" s="61">
        <f>IF(Y$347=1,$T$43+4,E91)</f>
        <v>2007</v>
      </c>
      <c r="F92" s="62" t="str">
        <f>VLOOKUP(Y$347,W$344:X$355,2)</f>
        <v>Apr</v>
      </c>
      <c r="G92" s="63">
        <f t="shared" si="19"/>
        <v>1</v>
      </c>
      <c r="H92" s="63">
        <f t="shared" si="5"/>
        <v>0</v>
      </c>
      <c r="I92" s="64">
        <f t="shared" si="22"/>
        <v>15522.509999999995</v>
      </c>
      <c r="J92" s="64">
        <f t="shared" si="14"/>
        <v>264.3</v>
      </c>
      <c r="K92" s="73">
        <f t="shared" si="15"/>
        <v>50</v>
      </c>
      <c r="L92" s="64">
        <f t="shared" si="7"/>
        <v>314.3</v>
      </c>
      <c r="M92" s="66">
        <f t="shared" si="8"/>
        <v>314.3</v>
      </c>
      <c r="N92" s="66">
        <f t="shared" si="9"/>
        <v>50</v>
      </c>
      <c r="O92" s="67">
        <f t="shared" si="10"/>
        <v>0</v>
      </c>
      <c r="P92" s="64">
        <f t="shared" si="11"/>
        <v>134.95000000000002</v>
      </c>
      <c r="Q92" s="64">
        <f t="shared" si="20"/>
        <v>129.35</v>
      </c>
      <c r="R92" s="64">
        <f>IF(ISTEXT($I$40),"",SUM(P$53:P92))</f>
        <v>4612.4400000000005</v>
      </c>
      <c r="S92" s="64">
        <f>IF(ISTEXT($I$40),"",SUM(Q$53:Q92))</f>
        <v>5959.56</v>
      </c>
      <c r="T92" s="64">
        <f t="shared" si="21"/>
        <v>15387.559999999994</v>
      </c>
      <c r="V92" s="68">
        <f t="shared" si="16"/>
        <v>2000</v>
      </c>
      <c r="W92" s="55"/>
      <c r="X92" s="55"/>
      <c r="Y92" s="55"/>
      <c r="AC92" s="62">
        <f>VLOOKUP(Y$347,W$344:X$355,1)</f>
        <v>4</v>
      </c>
      <c r="AD92" s="69">
        <f t="shared" si="12"/>
        <v>39173</v>
      </c>
      <c r="AE92" s="69">
        <f t="shared" si="13"/>
        <v>39173</v>
      </c>
    </row>
    <row r="93" spans="2:31" ht="11.25" customHeight="1">
      <c r="B93" s="59">
        <f t="shared" si="3"/>
        <v>2007</v>
      </c>
      <c r="C93" s="57">
        <f>VLOOKUP(Y$348,W$344:$X$355,1)</f>
        <v>5</v>
      </c>
      <c r="D93" s="55">
        <f t="shared" si="4"/>
        <v>1</v>
      </c>
      <c r="E93" s="61">
        <f>IF(Y$348=1,$T$43+4,E92)</f>
        <v>2007</v>
      </c>
      <c r="F93" s="62" t="str">
        <f>VLOOKUP(Y$348,W$344:X$355,2)</f>
        <v>May</v>
      </c>
      <c r="G93" s="63">
        <f t="shared" si="19"/>
        <v>1</v>
      </c>
      <c r="H93" s="63">
        <f t="shared" si="5"/>
        <v>0</v>
      </c>
      <c r="I93" s="64">
        <f t="shared" si="22"/>
        <v>15387.559999999994</v>
      </c>
      <c r="J93" s="64">
        <f t="shared" si="14"/>
        <v>264.3</v>
      </c>
      <c r="K93" s="73">
        <f t="shared" si="15"/>
        <v>50</v>
      </c>
      <c r="L93" s="64">
        <f t="shared" si="7"/>
        <v>314.3</v>
      </c>
      <c r="M93" s="66">
        <f t="shared" si="8"/>
        <v>314.3</v>
      </c>
      <c r="N93" s="66">
        <f t="shared" si="9"/>
        <v>50</v>
      </c>
      <c r="O93" s="67">
        <f t="shared" si="10"/>
        <v>0</v>
      </c>
      <c r="P93" s="64">
        <f t="shared" si="11"/>
        <v>136.07000000000002</v>
      </c>
      <c r="Q93" s="64">
        <f t="shared" si="20"/>
        <v>128.23</v>
      </c>
      <c r="R93" s="64">
        <f>IF(ISTEXT($I$40),"",SUM(P$53:P93))</f>
        <v>4748.51</v>
      </c>
      <c r="S93" s="64">
        <f>IF(ISTEXT($I$40),"",SUM(Q$53:Q93))</f>
        <v>6087.79</v>
      </c>
      <c r="T93" s="64">
        <f t="shared" si="21"/>
        <v>15251.489999999994</v>
      </c>
      <c r="V93" s="68">
        <f t="shared" si="16"/>
        <v>2050</v>
      </c>
      <c r="W93" s="55"/>
      <c r="X93" s="55"/>
      <c r="Y93" s="55"/>
      <c r="AC93" s="62">
        <f>VLOOKUP(Y$348,W$344:X$355,1)</f>
        <v>5</v>
      </c>
      <c r="AD93" s="69">
        <f t="shared" si="12"/>
        <v>39203</v>
      </c>
      <c r="AE93" s="69">
        <f t="shared" si="13"/>
        <v>39203</v>
      </c>
    </row>
    <row r="94" spans="2:31" ht="11.25" customHeight="1">
      <c r="B94" s="59">
        <f t="shared" si="3"/>
        <v>2007</v>
      </c>
      <c r="C94" s="57">
        <f>VLOOKUP(Y$349,W$344:$X$355,1)</f>
        <v>6</v>
      </c>
      <c r="D94" s="55">
        <f t="shared" si="4"/>
        <v>1</v>
      </c>
      <c r="E94" s="61">
        <f>IF(Y$349=1,$T$43+4,E93)</f>
        <v>2007</v>
      </c>
      <c r="F94" s="62" t="str">
        <f>VLOOKUP(Y$349,W$344:X$355,2)</f>
        <v>Jun</v>
      </c>
      <c r="G94" s="63">
        <f t="shared" si="19"/>
        <v>1</v>
      </c>
      <c r="H94" s="63">
        <f t="shared" si="5"/>
        <v>0</v>
      </c>
      <c r="I94" s="64">
        <f t="shared" si="22"/>
        <v>15251.489999999994</v>
      </c>
      <c r="J94" s="64">
        <f t="shared" si="14"/>
        <v>264.3</v>
      </c>
      <c r="K94" s="73">
        <f t="shared" si="15"/>
        <v>50</v>
      </c>
      <c r="L94" s="64">
        <f t="shared" si="7"/>
        <v>314.3</v>
      </c>
      <c r="M94" s="66">
        <f t="shared" si="8"/>
        <v>314.3</v>
      </c>
      <c r="N94" s="66">
        <f t="shared" si="9"/>
        <v>50</v>
      </c>
      <c r="O94" s="67">
        <f t="shared" si="10"/>
        <v>0</v>
      </c>
      <c r="P94" s="64">
        <f t="shared" si="11"/>
        <v>137.20000000000002</v>
      </c>
      <c r="Q94" s="64">
        <f t="shared" si="20"/>
        <v>127.1</v>
      </c>
      <c r="R94" s="64">
        <f>IF(ISTEXT($I$40),"",SUM(P$53:P94))</f>
        <v>4885.71</v>
      </c>
      <c r="S94" s="64">
        <f>IF(ISTEXT($I$40),"",SUM(Q$53:Q94))</f>
        <v>6214.89</v>
      </c>
      <c r="T94" s="64">
        <f t="shared" si="21"/>
        <v>15114.289999999994</v>
      </c>
      <c r="V94" s="68">
        <f t="shared" si="16"/>
        <v>2100</v>
      </c>
      <c r="W94" s="55"/>
      <c r="X94" s="55"/>
      <c r="Y94" s="55"/>
      <c r="AC94" s="62">
        <f>VLOOKUP(Y$349,W$344:X$355,1)</f>
        <v>6</v>
      </c>
      <c r="AD94" s="69">
        <f t="shared" si="12"/>
        <v>39234</v>
      </c>
      <c r="AE94" s="69">
        <f t="shared" si="13"/>
        <v>39234</v>
      </c>
    </row>
    <row r="95" spans="2:31" ht="11.25" customHeight="1">
      <c r="B95" s="59">
        <f t="shared" si="3"/>
        <v>2007</v>
      </c>
      <c r="C95" s="57">
        <f>VLOOKUP(Y$350,W$344:$X$355,1)</f>
        <v>7</v>
      </c>
      <c r="D95" s="55">
        <f t="shared" si="4"/>
        <v>1</v>
      </c>
      <c r="E95" s="61">
        <f>IF(Y$350=1,$T$43+4,E94)</f>
        <v>2007</v>
      </c>
      <c r="F95" s="62" t="str">
        <f>VLOOKUP(Y$350,W$344:X$355,2)</f>
        <v>Jul</v>
      </c>
      <c r="G95" s="63">
        <f t="shared" si="19"/>
        <v>1</v>
      </c>
      <c r="H95" s="63">
        <f t="shared" si="5"/>
        <v>0</v>
      </c>
      <c r="I95" s="64">
        <f t="shared" si="22"/>
        <v>15114.289999999994</v>
      </c>
      <c r="J95" s="64">
        <f t="shared" si="14"/>
        <v>264.3</v>
      </c>
      <c r="K95" s="73">
        <f t="shared" si="15"/>
        <v>50</v>
      </c>
      <c r="L95" s="64">
        <f t="shared" si="7"/>
        <v>314.3</v>
      </c>
      <c r="M95" s="66">
        <f t="shared" si="8"/>
        <v>314.3</v>
      </c>
      <c r="N95" s="66">
        <f t="shared" si="9"/>
        <v>50</v>
      </c>
      <c r="O95" s="67">
        <f t="shared" si="10"/>
        <v>0</v>
      </c>
      <c r="P95" s="64">
        <f t="shared" si="11"/>
        <v>138.35000000000002</v>
      </c>
      <c r="Q95" s="64">
        <f t="shared" si="20"/>
        <v>125.95</v>
      </c>
      <c r="R95" s="64">
        <f>IF(ISTEXT($I$40),"",SUM(P$53:P95))</f>
        <v>5024.06</v>
      </c>
      <c r="S95" s="64">
        <f>IF(ISTEXT($I$40),"",SUM(Q$53:Q95))</f>
        <v>6340.84</v>
      </c>
      <c r="T95" s="64">
        <f t="shared" si="21"/>
        <v>14975.939999999993</v>
      </c>
      <c r="V95" s="68">
        <f t="shared" si="16"/>
        <v>2150</v>
      </c>
      <c r="W95" s="55"/>
      <c r="X95" s="55"/>
      <c r="Y95" s="55"/>
      <c r="AC95" s="62">
        <f>VLOOKUP(Y$350,W$344:X$355,1)</f>
        <v>7</v>
      </c>
      <c r="AD95" s="69">
        <f t="shared" si="12"/>
        <v>39264</v>
      </c>
      <c r="AE95" s="69">
        <f t="shared" si="13"/>
        <v>39264</v>
      </c>
    </row>
    <row r="96" spans="2:31" ht="11.25" customHeight="1">
      <c r="B96" s="59">
        <f t="shared" si="3"/>
        <v>2007</v>
      </c>
      <c r="C96" s="57">
        <f>VLOOKUP(Y$351,W$344:$X$355,1)</f>
        <v>8</v>
      </c>
      <c r="D96" s="55">
        <f t="shared" si="4"/>
        <v>1</v>
      </c>
      <c r="E96" s="61">
        <f>IF(Y$351=1,$T$43+4,E95)</f>
        <v>2007</v>
      </c>
      <c r="F96" s="62" t="str">
        <f>VLOOKUP(Y$351,W$344:X$355,2)</f>
        <v>Aug</v>
      </c>
      <c r="G96" s="63">
        <f t="shared" si="19"/>
        <v>1</v>
      </c>
      <c r="H96" s="63">
        <f t="shared" si="5"/>
        <v>0</v>
      </c>
      <c r="I96" s="64">
        <f t="shared" si="22"/>
        <v>14975.939999999993</v>
      </c>
      <c r="J96" s="64">
        <f t="shared" si="14"/>
        <v>264.3</v>
      </c>
      <c r="K96" s="73">
        <f t="shared" si="15"/>
        <v>50</v>
      </c>
      <c r="L96" s="64">
        <f t="shared" si="7"/>
        <v>314.3</v>
      </c>
      <c r="M96" s="66">
        <f t="shared" si="8"/>
        <v>314.3</v>
      </c>
      <c r="N96" s="66">
        <f t="shared" si="9"/>
        <v>50</v>
      </c>
      <c r="O96" s="67">
        <f t="shared" si="10"/>
        <v>0</v>
      </c>
      <c r="P96" s="64">
        <f t="shared" si="11"/>
        <v>139.5</v>
      </c>
      <c r="Q96" s="64">
        <f t="shared" si="20"/>
        <v>124.8</v>
      </c>
      <c r="R96" s="64">
        <f>IF(ISTEXT($I$40),"",SUM(P$53:P96))</f>
        <v>5163.56</v>
      </c>
      <c r="S96" s="64">
        <f>IF(ISTEXT($I$40),"",SUM(Q$53:Q96))</f>
        <v>6465.64</v>
      </c>
      <c r="T96" s="64">
        <f t="shared" si="21"/>
        <v>14836.439999999993</v>
      </c>
      <c r="V96" s="68">
        <f t="shared" si="16"/>
        <v>2200</v>
      </c>
      <c r="W96" s="55"/>
      <c r="X96" s="55"/>
      <c r="Y96" s="55"/>
      <c r="AC96" s="62">
        <f>VLOOKUP(Y$351,W$344:X$355,1)</f>
        <v>8</v>
      </c>
      <c r="AD96" s="69">
        <f t="shared" si="12"/>
        <v>39295</v>
      </c>
      <c r="AE96" s="69">
        <f t="shared" si="13"/>
        <v>39295</v>
      </c>
    </row>
    <row r="97" spans="2:31" ht="11.25" customHeight="1">
      <c r="B97" s="59">
        <f t="shared" si="3"/>
        <v>2007</v>
      </c>
      <c r="C97" s="57">
        <f>VLOOKUP(Y$352,W$344:$X$355,1)</f>
        <v>9</v>
      </c>
      <c r="D97" s="55">
        <f t="shared" si="4"/>
        <v>1</v>
      </c>
      <c r="E97" s="61">
        <f>IF(Y$352=1,$T$43+4,E96)</f>
        <v>2007</v>
      </c>
      <c r="F97" s="62" t="str">
        <f>VLOOKUP(Y$352,W$344:X$355,2)</f>
        <v>Sep</v>
      </c>
      <c r="G97" s="63">
        <f t="shared" si="19"/>
        <v>1</v>
      </c>
      <c r="H97" s="63">
        <f t="shared" si="5"/>
        <v>0</v>
      </c>
      <c r="I97" s="64">
        <f t="shared" si="22"/>
        <v>14836.439999999993</v>
      </c>
      <c r="J97" s="64">
        <f t="shared" si="14"/>
        <v>264.3</v>
      </c>
      <c r="K97" s="73">
        <f t="shared" si="15"/>
        <v>50</v>
      </c>
      <c r="L97" s="64">
        <f t="shared" si="7"/>
        <v>314.3</v>
      </c>
      <c r="M97" s="66">
        <f t="shared" si="8"/>
        <v>314.3</v>
      </c>
      <c r="N97" s="66">
        <f t="shared" si="9"/>
        <v>50</v>
      </c>
      <c r="O97" s="67">
        <f t="shared" si="10"/>
        <v>0</v>
      </c>
      <c r="P97" s="64">
        <f t="shared" si="11"/>
        <v>140.66000000000003</v>
      </c>
      <c r="Q97" s="64">
        <f t="shared" si="20"/>
        <v>123.64</v>
      </c>
      <c r="R97" s="64">
        <f>IF(ISTEXT($I$40),"",SUM(P$53:P97))</f>
        <v>5304.22</v>
      </c>
      <c r="S97" s="64">
        <f>IF(ISTEXT($I$40),"",SUM(Q$53:Q97))</f>
        <v>6589.280000000001</v>
      </c>
      <c r="T97" s="64">
        <f t="shared" si="21"/>
        <v>14695.779999999993</v>
      </c>
      <c r="V97" s="68">
        <f t="shared" si="16"/>
        <v>2250</v>
      </c>
      <c r="W97" s="55"/>
      <c r="X97" s="55"/>
      <c r="Y97" s="55"/>
      <c r="AC97" s="62">
        <f>VLOOKUP(Y$352,W$344:X$355,1)</f>
        <v>9</v>
      </c>
      <c r="AD97" s="69">
        <f t="shared" si="12"/>
        <v>39326</v>
      </c>
      <c r="AE97" s="69">
        <f t="shared" si="13"/>
        <v>39326</v>
      </c>
    </row>
    <row r="98" spans="2:31" ht="11.25" customHeight="1">
      <c r="B98" s="59">
        <f t="shared" si="3"/>
        <v>2007</v>
      </c>
      <c r="C98" s="57">
        <f>VLOOKUP(Y$353,W$344:$X$355,1)</f>
        <v>10</v>
      </c>
      <c r="D98" s="55">
        <f t="shared" si="4"/>
        <v>1</v>
      </c>
      <c r="E98" s="61">
        <f>IF(Y$353=1,$T$43+4,E97)</f>
        <v>2007</v>
      </c>
      <c r="F98" s="62" t="str">
        <f>VLOOKUP(Y$353,W$344:X$355,2)</f>
        <v>Oct</v>
      </c>
      <c r="G98" s="63">
        <f t="shared" si="19"/>
        <v>1</v>
      </c>
      <c r="H98" s="63">
        <f t="shared" si="5"/>
        <v>0</v>
      </c>
      <c r="I98" s="64">
        <f t="shared" si="22"/>
        <v>14695.779999999993</v>
      </c>
      <c r="J98" s="64">
        <f t="shared" si="14"/>
        <v>264.3</v>
      </c>
      <c r="K98" s="73">
        <f t="shared" si="15"/>
        <v>50</v>
      </c>
      <c r="L98" s="64">
        <f t="shared" si="7"/>
        <v>314.3</v>
      </c>
      <c r="M98" s="66">
        <f t="shared" si="8"/>
        <v>314.3</v>
      </c>
      <c r="N98" s="66">
        <f t="shared" si="9"/>
        <v>50</v>
      </c>
      <c r="O98" s="67">
        <f t="shared" si="10"/>
        <v>0</v>
      </c>
      <c r="P98" s="64">
        <f t="shared" si="11"/>
        <v>141.84000000000003</v>
      </c>
      <c r="Q98" s="64">
        <f t="shared" si="20"/>
        <v>122.46</v>
      </c>
      <c r="R98" s="64">
        <f>IF(ISTEXT($I$40),"",SUM(P$53:P98))</f>
        <v>5446.06</v>
      </c>
      <c r="S98" s="64">
        <f>IF(ISTEXT($I$40),"",SUM(Q$53:Q98))</f>
        <v>6711.740000000001</v>
      </c>
      <c r="T98" s="64">
        <f t="shared" si="21"/>
        <v>14553.939999999993</v>
      </c>
      <c r="V98" s="68">
        <f t="shared" si="16"/>
        <v>2300</v>
      </c>
      <c r="W98" s="55"/>
      <c r="X98" s="55"/>
      <c r="Y98" s="55"/>
      <c r="AC98" s="62">
        <f>VLOOKUP(Y$353,W$344:X$355,1)</f>
        <v>10</v>
      </c>
      <c r="AD98" s="69">
        <f t="shared" si="12"/>
        <v>39356</v>
      </c>
      <c r="AE98" s="69">
        <f t="shared" si="13"/>
        <v>39356</v>
      </c>
    </row>
    <row r="99" spans="2:31" ht="11.25" customHeight="1">
      <c r="B99" s="59">
        <f t="shared" si="3"/>
        <v>2007</v>
      </c>
      <c r="C99" s="57">
        <f>VLOOKUP(Y$354,W$344:$X$355,1)</f>
        <v>11</v>
      </c>
      <c r="D99" s="55">
        <f t="shared" si="4"/>
        <v>1</v>
      </c>
      <c r="E99" s="61">
        <f>IF(Y$354=1,$T$43+4,E98)</f>
        <v>2007</v>
      </c>
      <c r="F99" s="62" t="str">
        <f>VLOOKUP(Y$354,W$344:X$355,2)</f>
        <v>Nov</v>
      </c>
      <c r="G99" s="63">
        <f t="shared" si="19"/>
        <v>1</v>
      </c>
      <c r="H99" s="63">
        <f t="shared" si="5"/>
        <v>0</v>
      </c>
      <c r="I99" s="64">
        <f t="shared" si="22"/>
        <v>14553.939999999993</v>
      </c>
      <c r="J99" s="64">
        <f t="shared" si="14"/>
        <v>264.3</v>
      </c>
      <c r="K99" s="73">
        <f t="shared" si="15"/>
        <v>50</v>
      </c>
      <c r="L99" s="64">
        <f t="shared" si="7"/>
        <v>314.3</v>
      </c>
      <c r="M99" s="66">
        <f t="shared" si="8"/>
        <v>314.3</v>
      </c>
      <c r="N99" s="66">
        <f t="shared" si="9"/>
        <v>50</v>
      </c>
      <c r="O99" s="67">
        <f t="shared" si="10"/>
        <v>0</v>
      </c>
      <c r="P99" s="64">
        <f t="shared" si="11"/>
        <v>143.02</v>
      </c>
      <c r="Q99" s="64">
        <f t="shared" si="20"/>
        <v>121.28</v>
      </c>
      <c r="R99" s="64">
        <f>IF(ISTEXT($I$40),"",SUM(P$53:P99))</f>
        <v>5589.080000000001</v>
      </c>
      <c r="S99" s="64">
        <f>IF(ISTEXT($I$40),"",SUM(Q$53:Q99))</f>
        <v>6833.02</v>
      </c>
      <c r="T99" s="64">
        <f t="shared" si="21"/>
        <v>14410.919999999993</v>
      </c>
      <c r="V99" s="68">
        <f t="shared" si="16"/>
        <v>2350</v>
      </c>
      <c r="W99" s="55"/>
      <c r="X99" s="55"/>
      <c r="Y99" s="55"/>
      <c r="AC99" s="62">
        <f>VLOOKUP(Y$354,W$344:X$355,1)</f>
        <v>11</v>
      </c>
      <c r="AD99" s="69">
        <f t="shared" si="12"/>
        <v>39387</v>
      </c>
      <c r="AE99" s="69">
        <f t="shared" si="13"/>
        <v>39387</v>
      </c>
    </row>
    <row r="100" spans="2:31" ht="11.25" customHeight="1">
      <c r="B100" s="59">
        <f t="shared" si="3"/>
        <v>2007</v>
      </c>
      <c r="C100" s="57">
        <f>VLOOKUP(Y$355,W$344:$X$355,1)</f>
        <v>12</v>
      </c>
      <c r="D100" s="55">
        <f t="shared" si="4"/>
        <v>1</v>
      </c>
      <c r="E100" s="61">
        <f>IF(Y$355=1,$T$43+4,E99)</f>
        <v>2007</v>
      </c>
      <c r="F100" s="62" t="str">
        <f>VLOOKUP(Y$355,W$344:X$355,2)</f>
        <v>Dec</v>
      </c>
      <c r="G100" s="63">
        <f t="shared" si="19"/>
        <v>1</v>
      </c>
      <c r="H100" s="63">
        <f t="shared" si="5"/>
        <v>0</v>
      </c>
      <c r="I100" s="64">
        <f t="shared" si="22"/>
        <v>14410.919999999993</v>
      </c>
      <c r="J100" s="64">
        <f t="shared" si="14"/>
        <v>264.3</v>
      </c>
      <c r="K100" s="73">
        <f t="shared" si="15"/>
        <v>50</v>
      </c>
      <c r="L100" s="64">
        <f t="shared" si="7"/>
        <v>314.3</v>
      </c>
      <c r="M100" s="66">
        <f t="shared" si="8"/>
        <v>314.3</v>
      </c>
      <c r="N100" s="66">
        <f t="shared" si="9"/>
        <v>50</v>
      </c>
      <c r="O100" s="67">
        <f t="shared" si="10"/>
        <v>0</v>
      </c>
      <c r="P100" s="64">
        <f t="shared" si="11"/>
        <v>144.21</v>
      </c>
      <c r="Q100" s="64">
        <f t="shared" si="20"/>
        <v>120.09</v>
      </c>
      <c r="R100" s="64">
        <f>IF(ISTEXT($I$40),"",SUM(P$53:P100))</f>
        <v>5733.290000000001</v>
      </c>
      <c r="S100" s="64">
        <f>IF(ISTEXT($I$40),"",SUM(Q$53:Q100))</f>
        <v>6953.110000000001</v>
      </c>
      <c r="T100" s="64">
        <f t="shared" si="21"/>
        <v>14266.709999999994</v>
      </c>
      <c r="V100" s="68">
        <f t="shared" si="16"/>
        <v>2400</v>
      </c>
      <c r="W100" s="55"/>
      <c r="X100" s="55"/>
      <c r="Y100" s="55"/>
      <c r="AC100" s="62">
        <f>VLOOKUP(Y$355,W$344:X$355,1)</f>
        <v>12</v>
      </c>
      <c r="AD100" s="69">
        <f t="shared" si="12"/>
        <v>39417</v>
      </c>
      <c r="AE100" s="69">
        <f t="shared" si="13"/>
        <v>39417</v>
      </c>
    </row>
    <row r="101" spans="2:31" ht="11.25" customHeight="1">
      <c r="B101" s="59">
        <f t="shared" si="3"/>
        <v>2008</v>
      </c>
      <c r="C101" s="57">
        <f>VLOOKUP(Y$344,W$344:$X$355,1)</f>
        <v>1</v>
      </c>
      <c r="D101" s="55">
        <f t="shared" si="4"/>
        <v>1</v>
      </c>
      <c r="E101" s="61">
        <f>IF(Y$344=1,$T$43+4,E100)</f>
        <v>2008</v>
      </c>
      <c r="F101" s="62" t="str">
        <f>VLOOKUP(Y$344,W$344:X$355,2)</f>
        <v>Jan</v>
      </c>
      <c r="G101" s="63">
        <f t="shared" si="19"/>
        <v>1</v>
      </c>
      <c r="H101" s="63">
        <f t="shared" si="5"/>
        <v>0</v>
      </c>
      <c r="I101" s="64">
        <f t="shared" si="22"/>
        <v>14266.709999999994</v>
      </c>
      <c r="J101" s="64">
        <f t="shared" si="14"/>
        <v>264.3</v>
      </c>
      <c r="K101" s="73">
        <f t="shared" si="15"/>
        <v>50</v>
      </c>
      <c r="L101" s="64">
        <f t="shared" si="7"/>
        <v>314.3</v>
      </c>
      <c r="M101" s="66">
        <f t="shared" si="8"/>
        <v>314.3</v>
      </c>
      <c r="N101" s="66">
        <f t="shared" si="9"/>
        <v>50</v>
      </c>
      <c r="O101" s="67">
        <f t="shared" si="10"/>
        <v>0</v>
      </c>
      <c r="P101" s="64">
        <f t="shared" si="11"/>
        <v>145.41000000000003</v>
      </c>
      <c r="Q101" s="64">
        <f t="shared" si="20"/>
        <v>118.89</v>
      </c>
      <c r="R101" s="64">
        <f>IF(ISTEXT($I$40),"",SUM(P$53:P101))</f>
        <v>5878.700000000001</v>
      </c>
      <c r="S101" s="64">
        <f>IF(ISTEXT($I$40),"",SUM(Q$53:Q101))</f>
        <v>7072.000000000001</v>
      </c>
      <c r="T101" s="64">
        <f t="shared" si="21"/>
        <v>14121.299999999994</v>
      </c>
      <c r="V101" s="68">
        <f t="shared" si="16"/>
        <v>2450</v>
      </c>
      <c r="W101" s="55"/>
      <c r="X101" s="55"/>
      <c r="Y101" s="55"/>
      <c r="AC101" s="62">
        <f>VLOOKUP(Y$344,W$344:X$355,1)</f>
        <v>1</v>
      </c>
      <c r="AD101" s="69">
        <f t="shared" si="12"/>
        <v>39448</v>
      </c>
      <c r="AE101" s="69">
        <f t="shared" si="13"/>
        <v>39448</v>
      </c>
    </row>
    <row r="102" spans="2:31" ht="11.25" customHeight="1">
      <c r="B102" s="59">
        <f t="shared" si="3"/>
        <v>2008</v>
      </c>
      <c r="C102" s="57">
        <f>VLOOKUP(Y$345,W$344:$X$355,1)</f>
        <v>2</v>
      </c>
      <c r="D102" s="55">
        <f t="shared" si="4"/>
        <v>1</v>
      </c>
      <c r="E102" s="61">
        <f>IF(Y$345=1,$T$43+5,E101)</f>
        <v>2008</v>
      </c>
      <c r="F102" s="62" t="str">
        <f>VLOOKUP(Y$345,W$344:X$355,2)</f>
        <v>Feb</v>
      </c>
      <c r="G102" s="63">
        <f t="shared" si="19"/>
        <v>1</v>
      </c>
      <c r="H102" s="63">
        <f t="shared" si="5"/>
        <v>0</v>
      </c>
      <c r="I102" s="64">
        <f t="shared" si="22"/>
        <v>14121.299999999994</v>
      </c>
      <c r="J102" s="64">
        <f t="shared" si="14"/>
        <v>264.3</v>
      </c>
      <c r="K102" s="73">
        <f t="shared" si="15"/>
        <v>50</v>
      </c>
      <c r="L102" s="64">
        <f t="shared" si="7"/>
        <v>314.3</v>
      </c>
      <c r="M102" s="66">
        <f t="shared" si="8"/>
        <v>314.3</v>
      </c>
      <c r="N102" s="66">
        <f t="shared" si="9"/>
        <v>50</v>
      </c>
      <c r="O102" s="67">
        <f t="shared" si="10"/>
        <v>0</v>
      </c>
      <c r="P102" s="64">
        <f t="shared" si="11"/>
        <v>146.62</v>
      </c>
      <c r="Q102" s="64">
        <f t="shared" si="20"/>
        <v>117.68</v>
      </c>
      <c r="R102" s="64">
        <f>IF(ISTEXT($I$40),"",SUM(P$53:P102))</f>
        <v>6025.320000000001</v>
      </c>
      <c r="S102" s="64">
        <f>IF(ISTEXT($I$40),"",SUM(Q$53:Q102))</f>
        <v>7189.680000000001</v>
      </c>
      <c r="T102" s="64">
        <f t="shared" si="21"/>
        <v>13974.679999999993</v>
      </c>
      <c r="V102" s="68">
        <f t="shared" si="16"/>
        <v>2500</v>
      </c>
      <c r="W102" s="55"/>
      <c r="X102" s="55"/>
      <c r="Y102" s="55"/>
      <c r="AC102" s="62">
        <f>VLOOKUP(Y$345,W$344:X$355,1)</f>
        <v>2</v>
      </c>
      <c r="AD102" s="69">
        <f t="shared" si="12"/>
        <v>39479</v>
      </c>
      <c r="AE102" s="69">
        <f t="shared" si="13"/>
        <v>39479</v>
      </c>
    </row>
    <row r="103" spans="2:31" ht="11.25" customHeight="1">
      <c r="B103" s="59">
        <f t="shared" si="3"/>
        <v>2008</v>
      </c>
      <c r="C103" s="57">
        <f>VLOOKUP(Y$346,W$344:$X$355,1)</f>
        <v>3</v>
      </c>
      <c r="D103" s="55">
        <f t="shared" si="4"/>
        <v>1</v>
      </c>
      <c r="E103" s="61">
        <f>IF(Y$346=1,$T$43+5,E102)</f>
        <v>2008</v>
      </c>
      <c r="F103" s="62" t="str">
        <f>VLOOKUP(Y$346,W$344:X$355,2)</f>
        <v>Mar</v>
      </c>
      <c r="G103" s="63">
        <f t="shared" si="19"/>
        <v>1</v>
      </c>
      <c r="H103" s="63">
        <f t="shared" si="5"/>
        <v>0</v>
      </c>
      <c r="I103" s="64">
        <f t="shared" si="22"/>
        <v>13974.679999999993</v>
      </c>
      <c r="J103" s="64">
        <f t="shared" si="14"/>
        <v>264.3</v>
      </c>
      <c r="K103" s="73">
        <f t="shared" si="15"/>
        <v>50</v>
      </c>
      <c r="L103" s="64">
        <f t="shared" si="7"/>
        <v>314.3</v>
      </c>
      <c r="M103" s="66">
        <f t="shared" si="8"/>
        <v>314.3</v>
      </c>
      <c r="N103" s="66">
        <f t="shared" si="9"/>
        <v>50</v>
      </c>
      <c r="O103" s="67">
        <f t="shared" si="10"/>
        <v>0</v>
      </c>
      <c r="P103" s="64">
        <f t="shared" si="11"/>
        <v>147.84000000000003</v>
      </c>
      <c r="Q103" s="64">
        <f t="shared" si="20"/>
        <v>116.46</v>
      </c>
      <c r="R103" s="64">
        <f>IF(ISTEXT($I$40),"",SUM(P$53:P103))</f>
        <v>6173.160000000001</v>
      </c>
      <c r="S103" s="64">
        <f>IF(ISTEXT($I$40),"",SUM(Q$53:Q103))</f>
        <v>7306.140000000001</v>
      </c>
      <c r="T103" s="64">
        <f t="shared" si="21"/>
        <v>13826.839999999993</v>
      </c>
      <c r="V103" s="68">
        <f t="shared" si="16"/>
        <v>2550</v>
      </c>
      <c r="W103" s="55"/>
      <c r="X103" s="55"/>
      <c r="Y103" s="55"/>
      <c r="AC103" s="62">
        <f>VLOOKUP(Y$346,W$344:X$355,1)</f>
        <v>3</v>
      </c>
      <c r="AD103" s="69">
        <f t="shared" si="12"/>
        <v>39508</v>
      </c>
      <c r="AE103" s="69">
        <f t="shared" si="13"/>
        <v>39508</v>
      </c>
    </row>
    <row r="104" spans="2:31" ht="11.25" customHeight="1">
      <c r="B104" s="59">
        <f t="shared" si="3"/>
        <v>2008</v>
      </c>
      <c r="C104" s="57">
        <f>VLOOKUP(Y$347,W$344:$X$355,1)</f>
        <v>4</v>
      </c>
      <c r="D104" s="55">
        <f t="shared" si="4"/>
        <v>1</v>
      </c>
      <c r="E104" s="61">
        <f>IF(Y$347=1,$T$43+5,E103)</f>
        <v>2008</v>
      </c>
      <c r="F104" s="62" t="str">
        <f>VLOOKUP(Y$347,W$344:X$355,2)</f>
        <v>Apr</v>
      </c>
      <c r="G104" s="63">
        <f t="shared" si="19"/>
        <v>1</v>
      </c>
      <c r="H104" s="63">
        <f t="shared" si="5"/>
        <v>0</v>
      </c>
      <c r="I104" s="64">
        <f t="shared" si="22"/>
        <v>13826.839999999993</v>
      </c>
      <c r="J104" s="64">
        <f t="shared" si="14"/>
        <v>264.3</v>
      </c>
      <c r="K104" s="73">
        <f t="shared" si="15"/>
        <v>50</v>
      </c>
      <c r="L104" s="64">
        <f t="shared" si="7"/>
        <v>314.3</v>
      </c>
      <c r="M104" s="66">
        <f t="shared" si="8"/>
        <v>314.3</v>
      </c>
      <c r="N104" s="66">
        <f t="shared" si="9"/>
        <v>50</v>
      </c>
      <c r="O104" s="67">
        <f t="shared" si="10"/>
        <v>0</v>
      </c>
      <c r="P104" s="64">
        <f t="shared" si="11"/>
        <v>149.08</v>
      </c>
      <c r="Q104" s="64">
        <f t="shared" si="20"/>
        <v>115.22</v>
      </c>
      <c r="R104" s="64">
        <f>IF(ISTEXT($I$40),"",SUM(P$53:P104))</f>
        <v>6322.240000000001</v>
      </c>
      <c r="S104" s="64">
        <f>IF(ISTEXT($I$40),"",SUM(Q$53:Q104))</f>
        <v>7421.3600000000015</v>
      </c>
      <c r="T104" s="64">
        <f t="shared" si="21"/>
        <v>13677.759999999993</v>
      </c>
      <c r="V104" s="68">
        <f t="shared" si="16"/>
        <v>2600</v>
      </c>
      <c r="W104" s="55"/>
      <c r="X104" s="55"/>
      <c r="Y104" s="55"/>
      <c r="AC104" s="62">
        <f>VLOOKUP(Y$347,W$344:X$355,1)</f>
        <v>4</v>
      </c>
      <c r="AD104" s="69">
        <f t="shared" si="12"/>
        <v>39539</v>
      </c>
      <c r="AE104" s="69">
        <f t="shared" si="13"/>
        <v>39539</v>
      </c>
    </row>
    <row r="105" spans="2:31" ht="11.25" customHeight="1">
      <c r="B105" s="59">
        <f t="shared" si="3"/>
        <v>2008</v>
      </c>
      <c r="C105" s="57">
        <f>VLOOKUP(Y$348,W$344:$X$355,1)</f>
        <v>5</v>
      </c>
      <c r="D105" s="55">
        <f t="shared" si="4"/>
        <v>1</v>
      </c>
      <c r="E105" s="61">
        <f>IF(Y$348=1,$T$43+5,E104)</f>
        <v>2008</v>
      </c>
      <c r="F105" s="62" t="str">
        <f>VLOOKUP(Y$348,W$344:X$355,2)</f>
        <v>May</v>
      </c>
      <c r="G105" s="63">
        <f t="shared" si="19"/>
        <v>1</v>
      </c>
      <c r="H105" s="63">
        <f t="shared" si="5"/>
        <v>0</v>
      </c>
      <c r="I105" s="64">
        <f t="shared" si="22"/>
        <v>13677.759999999993</v>
      </c>
      <c r="J105" s="64">
        <f t="shared" si="14"/>
        <v>264.3</v>
      </c>
      <c r="K105" s="73">
        <f t="shared" si="15"/>
        <v>50</v>
      </c>
      <c r="L105" s="64">
        <f t="shared" si="7"/>
        <v>314.3</v>
      </c>
      <c r="M105" s="66">
        <f t="shared" si="8"/>
        <v>314.3</v>
      </c>
      <c r="N105" s="66">
        <f t="shared" si="9"/>
        <v>50</v>
      </c>
      <c r="O105" s="67">
        <f t="shared" si="10"/>
        <v>0</v>
      </c>
      <c r="P105" s="64">
        <f t="shared" si="11"/>
        <v>150.32</v>
      </c>
      <c r="Q105" s="64">
        <f t="shared" si="20"/>
        <v>113.98</v>
      </c>
      <c r="R105" s="64">
        <f>IF(ISTEXT($I$40),"",SUM(P$53:P105))</f>
        <v>6472.56</v>
      </c>
      <c r="S105" s="64">
        <f>IF(ISTEXT($I$40),"",SUM(Q$53:Q105))</f>
        <v>7535.340000000001</v>
      </c>
      <c r="T105" s="64">
        <f t="shared" si="21"/>
        <v>13527.439999999993</v>
      </c>
      <c r="V105" s="68">
        <f t="shared" si="16"/>
        <v>2650</v>
      </c>
      <c r="W105" s="55"/>
      <c r="X105" s="55"/>
      <c r="Y105" s="55"/>
      <c r="AC105" s="62">
        <f>VLOOKUP(Y$348,W$344:X$355,1)</f>
        <v>5</v>
      </c>
      <c r="AD105" s="69">
        <f t="shared" si="12"/>
        <v>39569</v>
      </c>
      <c r="AE105" s="69">
        <f t="shared" si="13"/>
        <v>39569</v>
      </c>
    </row>
    <row r="106" spans="2:31" ht="11.25" customHeight="1">
      <c r="B106" s="59">
        <f t="shared" si="3"/>
        <v>2008</v>
      </c>
      <c r="C106" s="57">
        <f>VLOOKUP(Y$349,W$344:$X$355,1)</f>
        <v>6</v>
      </c>
      <c r="D106" s="55">
        <f t="shared" si="4"/>
        <v>1</v>
      </c>
      <c r="E106" s="61">
        <f>IF(Y$349=1,$T$43+5,E105)</f>
        <v>2008</v>
      </c>
      <c r="F106" s="62" t="str">
        <f>VLOOKUP(Y$349,W$344:X$355,2)</f>
        <v>Jun</v>
      </c>
      <c r="G106" s="63">
        <f t="shared" si="19"/>
        <v>1</v>
      </c>
      <c r="H106" s="63">
        <f t="shared" si="5"/>
        <v>0</v>
      </c>
      <c r="I106" s="64">
        <f t="shared" si="22"/>
        <v>13527.439999999993</v>
      </c>
      <c r="J106" s="64">
        <f t="shared" si="14"/>
        <v>264.3</v>
      </c>
      <c r="K106" s="73">
        <f t="shared" si="15"/>
        <v>50</v>
      </c>
      <c r="L106" s="64">
        <f t="shared" si="7"/>
        <v>314.3</v>
      </c>
      <c r="M106" s="66">
        <f t="shared" si="8"/>
        <v>314.3</v>
      </c>
      <c r="N106" s="66">
        <f t="shared" si="9"/>
        <v>50</v>
      </c>
      <c r="O106" s="67">
        <f t="shared" si="10"/>
        <v>0</v>
      </c>
      <c r="P106" s="64">
        <f t="shared" si="11"/>
        <v>151.57</v>
      </c>
      <c r="Q106" s="64">
        <f t="shared" si="20"/>
        <v>112.73</v>
      </c>
      <c r="R106" s="64">
        <f>IF(ISTEXT($I$40),"",SUM(P$53:P106))</f>
        <v>6624.13</v>
      </c>
      <c r="S106" s="64">
        <f>IF(ISTEXT($I$40),"",SUM(Q$53:Q106))</f>
        <v>7648.070000000001</v>
      </c>
      <c r="T106" s="64">
        <f t="shared" si="21"/>
        <v>13375.869999999994</v>
      </c>
      <c r="V106" s="68">
        <f t="shared" si="16"/>
        <v>2700</v>
      </c>
      <c r="W106" s="55"/>
      <c r="X106" s="55"/>
      <c r="Y106" s="55"/>
      <c r="AC106" s="62">
        <f>VLOOKUP(Y$349,W$344:X$355,1)</f>
        <v>6</v>
      </c>
      <c r="AD106" s="69">
        <f t="shared" si="12"/>
        <v>39600</v>
      </c>
      <c r="AE106" s="69">
        <f t="shared" si="13"/>
        <v>39600</v>
      </c>
    </row>
    <row r="107" spans="2:31" ht="11.25" customHeight="1">
      <c r="B107" s="59">
        <f t="shared" si="3"/>
        <v>2008</v>
      </c>
      <c r="C107" s="57">
        <f>VLOOKUP(Y$350,W$344:$X$355,1)</f>
        <v>7</v>
      </c>
      <c r="D107" s="55">
        <f t="shared" si="4"/>
        <v>1</v>
      </c>
      <c r="E107" s="61">
        <f>IF(Y$350=1,$T$43+5,E106)</f>
        <v>2008</v>
      </c>
      <c r="F107" s="62" t="str">
        <f>VLOOKUP(Y$350,W$344:X$355,2)</f>
        <v>Jul</v>
      </c>
      <c r="G107" s="63">
        <f t="shared" si="19"/>
        <v>1</v>
      </c>
      <c r="H107" s="63">
        <f t="shared" si="5"/>
        <v>0</v>
      </c>
      <c r="I107" s="64">
        <f t="shared" si="22"/>
        <v>13375.869999999994</v>
      </c>
      <c r="J107" s="64">
        <f t="shared" si="14"/>
        <v>264.3</v>
      </c>
      <c r="K107" s="73">
        <f t="shared" si="15"/>
        <v>50</v>
      </c>
      <c r="L107" s="64">
        <f t="shared" si="7"/>
        <v>314.3</v>
      </c>
      <c r="M107" s="66">
        <f t="shared" si="8"/>
        <v>314.3</v>
      </c>
      <c r="N107" s="66">
        <f t="shared" si="9"/>
        <v>50</v>
      </c>
      <c r="O107" s="67">
        <f t="shared" si="10"/>
        <v>0</v>
      </c>
      <c r="P107" s="64">
        <f t="shared" si="11"/>
        <v>152.83</v>
      </c>
      <c r="Q107" s="64">
        <f t="shared" si="20"/>
        <v>111.47</v>
      </c>
      <c r="R107" s="64">
        <f>IF(ISTEXT($I$40),"",SUM(P$53:P107))</f>
        <v>6776.96</v>
      </c>
      <c r="S107" s="64">
        <f>IF(ISTEXT($I$40),"",SUM(Q$53:Q107))</f>
        <v>7759.540000000001</v>
      </c>
      <c r="T107" s="64">
        <f t="shared" si="21"/>
        <v>13223.039999999994</v>
      </c>
      <c r="V107" s="68">
        <f t="shared" si="16"/>
        <v>2750</v>
      </c>
      <c r="W107" s="55"/>
      <c r="X107" s="55"/>
      <c r="Y107" s="55"/>
      <c r="AC107" s="62">
        <f>VLOOKUP(Y$350,W$344:X$355,1)</f>
        <v>7</v>
      </c>
      <c r="AD107" s="69">
        <f t="shared" si="12"/>
        <v>39630</v>
      </c>
      <c r="AE107" s="69">
        <f t="shared" si="13"/>
        <v>39630</v>
      </c>
    </row>
    <row r="108" spans="2:31" ht="11.25" customHeight="1">
      <c r="B108" s="59">
        <f t="shared" si="3"/>
        <v>2008</v>
      </c>
      <c r="C108" s="57">
        <f>VLOOKUP(Y$351,W$344:$X$355,1)</f>
        <v>8</v>
      </c>
      <c r="D108" s="55">
        <f t="shared" si="4"/>
        <v>1</v>
      </c>
      <c r="E108" s="61">
        <f>IF(Y$351=1,$T$43+5,E107)</f>
        <v>2008</v>
      </c>
      <c r="F108" s="62" t="str">
        <f>VLOOKUP(Y$351,W$344:X$355,2)</f>
        <v>Aug</v>
      </c>
      <c r="G108" s="63">
        <f t="shared" si="19"/>
        <v>1</v>
      </c>
      <c r="H108" s="63">
        <f t="shared" si="5"/>
        <v>0</v>
      </c>
      <c r="I108" s="64">
        <f t="shared" si="22"/>
        <v>13223.039999999994</v>
      </c>
      <c r="J108" s="64">
        <f t="shared" si="14"/>
        <v>264.3</v>
      </c>
      <c r="K108" s="73">
        <f t="shared" si="15"/>
        <v>50</v>
      </c>
      <c r="L108" s="64">
        <f t="shared" si="7"/>
        <v>314.3</v>
      </c>
      <c r="M108" s="66">
        <f t="shared" si="8"/>
        <v>314.3</v>
      </c>
      <c r="N108" s="66">
        <f t="shared" si="9"/>
        <v>50</v>
      </c>
      <c r="O108" s="67">
        <f t="shared" si="10"/>
        <v>0</v>
      </c>
      <c r="P108" s="64">
        <f t="shared" si="11"/>
        <v>154.11</v>
      </c>
      <c r="Q108" s="64">
        <f t="shared" si="20"/>
        <v>110.19</v>
      </c>
      <c r="R108" s="64">
        <f>IF(ISTEXT($I$40),"",SUM(P$53:P108))</f>
        <v>6931.07</v>
      </c>
      <c r="S108" s="64">
        <f>IF(ISTEXT($I$40),"",SUM(Q$53:Q108))</f>
        <v>7869.7300000000005</v>
      </c>
      <c r="T108" s="64">
        <f t="shared" si="21"/>
        <v>13068.929999999993</v>
      </c>
      <c r="V108" s="68">
        <f t="shared" si="16"/>
        <v>2800</v>
      </c>
      <c r="W108" s="55"/>
      <c r="X108" s="55"/>
      <c r="Y108" s="55"/>
      <c r="AC108" s="62">
        <f>VLOOKUP(Y$351,W$344:X$355,1)</f>
        <v>8</v>
      </c>
      <c r="AD108" s="69">
        <f t="shared" si="12"/>
        <v>39661</v>
      </c>
      <c r="AE108" s="69">
        <f t="shared" si="13"/>
        <v>39661</v>
      </c>
    </row>
    <row r="109" spans="2:31" ht="11.25" customHeight="1">
      <c r="B109" s="59">
        <f t="shared" si="3"/>
        <v>2008</v>
      </c>
      <c r="C109" s="57">
        <f>VLOOKUP(Y$352,W$344:$X$355,1)</f>
        <v>9</v>
      </c>
      <c r="D109" s="55">
        <f t="shared" si="4"/>
        <v>1</v>
      </c>
      <c r="E109" s="61">
        <f>IF(Y$352=1,$T$43+5,E108)</f>
        <v>2008</v>
      </c>
      <c r="F109" s="62" t="str">
        <f>VLOOKUP(Y$352,W$344:X$355,2)</f>
        <v>Sep</v>
      </c>
      <c r="G109" s="63">
        <f t="shared" si="19"/>
        <v>1</v>
      </c>
      <c r="H109" s="63">
        <f t="shared" si="5"/>
        <v>0</v>
      </c>
      <c r="I109" s="64">
        <f t="shared" si="22"/>
        <v>13068.929999999993</v>
      </c>
      <c r="J109" s="64">
        <f t="shared" si="14"/>
        <v>264.3</v>
      </c>
      <c r="K109" s="73">
        <f t="shared" si="15"/>
        <v>50</v>
      </c>
      <c r="L109" s="64">
        <f t="shared" si="7"/>
        <v>314.3</v>
      </c>
      <c r="M109" s="66">
        <f t="shared" si="8"/>
        <v>314.3</v>
      </c>
      <c r="N109" s="66">
        <f t="shared" si="9"/>
        <v>50</v>
      </c>
      <c r="O109" s="67">
        <f t="shared" si="10"/>
        <v>0</v>
      </c>
      <c r="P109" s="64">
        <f t="shared" si="11"/>
        <v>155.39000000000001</v>
      </c>
      <c r="Q109" s="64">
        <f t="shared" si="20"/>
        <v>108.91</v>
      </c>
      <c r="R109" s="64">
        <f>IF(ISTEXT($I$40),"",SUM(P$53:P109))</f>
        <v>7086.46</v>
      </c>
      <c r="S109" s="64">
        <f>IF(ISTEXT($I$40),"",SUM(Q$53:Q109))</f>
        <v>7978.64</v>
      </c>
      <c r="T109" s="64">
        <f t="shared" si="21"/>
        <v>12913.539999999994</v>
      </c>
      <c r="V109" s="68">
        <f t="shared" si="16"/>
        <v>2850</v>
      </c>
      <c r="W109" s="55"/>
      <c r="X109" s="55"/>
      <c r="Y109" s="55"/>
      <c r="AC109" s="62">
        <f>VLOOKUP(Y$352,W$344:X$355,1)</f>
        <v>9</v>
      </c>
      <c r="AD109" s="69">
        <f t="shared" si="12"/>
        <v>39692</v>
      </c>
      <c r="AE109" s="69">
        <f t="shared" si="13"/>
        <v>39692</v>
      </c>
    </row>
    <row r="110" spans="2:31" ht="11.25" customHeight="1">
      <c r="B110" s="59">
        <f t="shared" si="3"/>
        <v>2008</v>
      </c>
      <c r="C110" s="57">
        <f>VLOOKUP(Y$353,W$344:$X$355,1)</f>
        <v>10</v>
      </c>
      <c r="D110" s="55">
        <f t="shared" si="4"/>
        <v>1</v>
      </c>
      <c r="E110" s="61">
        <f>IF(Y$353=1,$T$43+5,E109)</f>
        <v>2008</v>
      </c>
      <c r="F110" s="62" t="str">
        <f>VLOOKUP(Y$353,W$344:X$355,2)</f>
        <v>Oct</v>
      </c>
      <c r="G110" s="63">
        <f t="shared" si="19"/>
        <v>1</v>
      </c>
      <c r="H110" s="63">
        <f t="shared" si="5"/>
        <v>0</v>
      </c>
      <c r="I110" s="64">
        <f t="shared" si="22"/>
        <v>12913.539999999994</v>
      </c>
      <c r="J110" s="64">
        <f t="shared" si="14"/>
        <v>264.3</v>
      </c>
      <c r="K110" s="73">
        <f t="shared" si="15"/>
        <v>50</v>
      </c>
      <c r="L110" s="64">
        <f t="shared" si="7"/>
        <v>314.3</v>
      </c>
      <c r="M110" s="66">
        <f t="shared" si="8"/>
        <v>314.3</v>
      </c>
      <c r="N110" s="66">
        <f t="shared" si="9"/>
        <v>50</v>
      </c>
      <c r="O110" s="67">
        <f t="shared" si="10"/>
        <v>0</v>
      </c>
      <c r="P110" s="64">
        <f t="shared" si="11"/>
        <v>156.69</v>
      </c>
      <c r="Q110" s="64">
        <f t="shared" si="20"/>
        <v>107.61</v>
      </c>
      <c r="R110" s="64">
        <f>IF(ISTEXT($I$40),"",SUM(P$53:P110))</f>
        <v>7243.15</v>
      </c>
      <c r="S110" s="64">
        <f>IF(ISTEXT($I$40),"",SUM(Q$53:Q110))</f>
        <v>8086.25</v>
      </c>
      <c r="T110" s="64">
        <f t="shared" si="21"/>
        <v>12756.849999999993</v>
      </c>
      <c r="V110" s="68">
        <f t="shared" si="16"/>
        <v>2900</v>
      </c>
      <c r="W110" s="55"/>
      <c r="X110" s="55"/>
      <c r="Y110" s="55"/>
      <c r="AC110" s="62">
        <f>VLOOKUP(Y$353,W$344:X$355,1)</f>
        <v>10</v>
      </c>
      <c r="AD110" s="69">
        <f t="shared" si="12"/>
        <v>39722</v>
      </c>
      <c r="AE110" s="69">
        <f t="shared" si="13"/>
        <v>39722</v>
      </c>
    </row>
    <row r="111" spans="2:31" ht="11.25" customHeight="1">
      <c r="B111" s="59">
        <f t="shared" si="3"/>
        <v>2008</v>
      </c>
      <c r="C111" s="57">
        <f>VLOOKUP(Y$354,W$344:$X$355,1)</f>
        <v>11</v>
      </c>
      <c r="D111" s="55">
        <f t="shared" si="4"/>
        <v>1</v>
      </c>
      <c r="E111" s="61">
        <f>IF(Y$354=1,$T$43+5,E110)</f>
        <v>2008</v>
      </c>
      <c r="F111" s="62" t="str">
        <f>VLOOKUP(Y$354,W$344:X$355,2)</f>
        <v>Nov</v>
      </c>
      <c r="G111" s="63">
        <f t="shared" si="19"/>
        <v>1</v>
      </c>
      <c r="H111" s="63">
        <f t="shared" si="5"/>
        <v>0</v>
      </c>
      <c r="I111" s="64">
        <f t="shared" si="22"/>
        <v>12756.849999999993</v>
      </c>
      <c r="J111" s="64">
        <f t="shared" si="14"/>
        <v>264.3</v>
      </c>
      <c r="K111" s="73">
        <f t="shared" si="15"/>
        <v>50</v>
      </c>
      <c r="L111" s="64">
        <f t="shared" si="7"/>
        <v>314.3</v>
      </c>
      <c r="M111" s="66">
        <f t="shared" si="8"/>
        <v>314.3</v>
      </c>
      <c r="N111" s="66">
        <f t="shared" si="9"/>
        <v>50</v>
      </c>
      <c r="O111" s="67">
        <f t="shared" si="10"/>
        <v>0</v>
      </c>
      <c r="P111" s="64">
        <f t="shared" si="11"/>
        <v>157.99</v>
      </c>
      <c r="Q111" s="64">
        <f t="shared" si="20"/>
        <v>106.31</v>
      </c>
      <c r="R111" s="64">
        <f>IF(ISTEXT($I$40),"",SUM(P$53:P111))</f>
        <v>7401.139999999999</v>
      </c>
      <c r="S111" s="64">
        <f>IF(ISTEXT($I$40),"",SUM(Q$53:Q111))</f>
        <v>8192.56</v>
      </c>
      <c r="T111" s="64">
        <f t="shared" si="21"/>
        <v>12598.859999999993</v>
      </c>
      <c r="V111" s="68">
        <f t="shared" si="16"/>
        <v>2950</v>
      </c>
      <c r="W111" s="55"/>
      <c r="X111" s="55"/>
      <c r="Y111" s="55"/>
      <c r="AC111" s="62">
        <f>VLOOKUP(Y$354,W$344:X$355,1)</f>
        <v>11</v>
      </c>
      <c r="AD111" s="69">
        <f t="shared" si="12"/>
        <v>39753</v>
      </c>
      <c r="AE111" s="69">
        <f t="shared" si="13"/>
        <v>39753</v>
      </c>
    </row>
    <row r="112" spans="2:31" ht="11.25" customHeight="1">
      <c r="B112" s="59">
        <f t="shared" si="3"/>
        <v>2008</v>
      </c>
      <c r="C112" s="57">
        <f>VLOOKUP(Y$355,W$344:$X$355,1)</f>
        <v>12</v>
      </c>
      <c r="D112" s="55">
        <f t="shared" si="4"/>
        <v>1</v>
      </c>
      <c r="E112" s="61">
        <f>IF(Y$355=1,$T$43+5,E111)</f>
        <v>2008</v>
      </c>
      <c r="F112" s="62" t="str">
        <f>VLOOKUP(Y$355,W$344:X$355,2)</f>
        <v>Dec</v>
      </c>
      <c r="G112" s="63">
        <f t="shared" si="19"/>
        <v>1</v>
      </c>
      <c r="H112" s="63">
        <f t="shared" si="5"/>
        <v>0</v>
      </c>
      <c r="I112" s="64">
        <f t="shared" si="22"/>
        <v>12598.859999999993</v>
      </c>
      <c r="J112" s="64">
        <f t="shared" si="14"/>
        <v>264.3</v>
      </c>
      <c r="K112" s="73">
        <f t="shared" si="15"/>
        <v>50</v>
      </c>
      <c r="L112" s="64">
        <f t="shared" si="7"/>
        <v>314.3</v>
      </c>
      <c r="M112" s="66">
        <f t="shared" si="8"/>
        <v>314.3</v>
      </c>
      <c r="N112" s="66">
        <f t="shared" si="9"/>
        <v>50</v>
      </c>
      <c r="O112" s="67">
        <f t="shared" si="10"/>
        <v>0</v>
      </c>
      <c r="P112" s="64">
        <f t="shared" si="11"/>
        <v>159.31</v>
      </c>
      <c r="Q112" s="64">
        <f t="shared" si="20"/>
        <v>104.99</v>
      </c>
      <c r="R112" s="64">
        <f>IF(ISTEXT($I$40),"",SUM(P$53:P112))</f>
        <v>7560.45</v>
      </c>
      <c r="S112" s="64">
        <f>IF(ISTEXT($I$40),"",SUM(Q$53:Q112))</f>
        <v>8297.55</v>
      </c>
      <c r="T112" s="64">
        <f t="shared" si="21"/>
        <v>12439.549999999994</v>
      </c>
      <c r="V112" s="68">
        <f t="shared" si="16"/>
        <v>3000</v>
      </c>
      <c r="W112" s="55"/>
      <c r="X112" s="55"/>
      <c r="Y112" s="55"/>
      <c r="AC112" s="62">
        <f>VLOOKUP(Y$355,W$344:X$355,1)</f>
        <v>12</v>
      </c>
      <c r="AD112" s="69">
        <f t="shared" si="12"/>
        <v>39783</v>
      </c>
      <c r="AE112" s="69">
        <f t="shared" si="13"/>
        <v>39783</v>
      </c>
    </row>
    <row r="113" spans="2:31" ht="11.25" customHeight="1">
      <c r="B113" s="59">
        <f t="shared" si="3"/>
        <v>2009</v>
      </c>
      <c r="C113" s="57">
        <f>VLOOKUP(Y$344,W$344:$X$355,1)</f>
        <v>1</v>
      </c>
      <c r="D113" s="55">
        <f t="shared" si="4"/>
        <v>1</v>
      </c>
      <c r="E113" s="61">
        <f>IF(Y344=1,$T$43+5,E112)</f>
        <v>2009</v>
      </c>
      <c r="F113" s="62" t="str">
        <f>VLOOKUP(Y$344,W$344:X$355,2)</f>
        <v>Jan</v>
      </c>
      <c r="G113" s="63">
        <f t="shared" si="19"/>
        <v>1</v>
      </c>
      <c r="H113" s="63">
        <f t="shared" si="5"/>
        <v>0</v>
      </c>
      <c r="I113" s="64">
        <f t="shared" si="22"/>
        <v>12439.549999999994</v>
      </c>
      <c r="J113" s="64">
        <f t="shared" si="14"/>
        <v>264.3</v>
      </c>
      <c r="K113" s="73">
        <f t="shared" si="15"/>
        <v>50</v>
      </c>
      <c r="L113" s="64">
        <f t="shared" si="7"/>
        <v>314.3</v>
      </c>
      <c r="M113" s="66">
        <f t="shared" si="8"/>
        <v>314.3</v>
      </c>
      <c r="N113" s="66">
        <f t="shared" si="9"/>
        <v>50</v>
      </c>
      <c r="O113" s="67">
        <f t="shared" si="10"/>
        <v>0</v>
      </c>
      <c r="P113" s="64">
        <f t="shared" si="11"/>
        <v>160.64000000000001</v>
      </c>
      <c r="Q113" s="64">
        <f t="shared" si="20"/>
        <v>103.66</v>
      </c>
      <c r="R113" s="64">
        <f>IF(ISTEXT($I$40),"",SUM(P$53:P113))</f>
        <v>7721.09</v>
      </c>
      <c r="S113" s="64">
        <f>IF(ISTEXT($I$40),"",SUM(Q$53:Q113))</f>
        <v>8401.21</v>
      </c>
      <c r="T113" s="64">
        <f t="shared" si="21"/>
        <v>12278.909999999994</v>
      </c>
      <c r="V113" s="68">
        <f t="shared" si="16"/>
        <v>3050</v>
      </c>
      <c r="W113" s="55"/>
      <c r="X113" s="55"/>
      <c r="Y113" s="55"/>
      <c r="AC113" s="62">
        <f>VLOOKUP(Y$344,W$344:X$355,1)</f>
        <v>1</v>
      </c>
      <c r="AD113" s="69">
        <f t="shared" si="12"/>
        <v>39814</v>
      </c>
      <c r="AE113" s="69">
        <f t="shared" si="13"/>
        <v>39814</v>
      </c>
    </row>
    <row r="114" spans="2:31" ht="11.25" customHeight="1">
      <c r="B114" s="59">
        <f t="shared" si="3"/>
        <v>2009</v>
      </c>
      <c r="C114" s="57">
        <f>VLOOKUP(Y$345,W$344:$X$355,1)</f>
        <v>2</v>
      </c>
      <c r="D114" s="55">
        <f t="shared" si="4"/>
        <v>1</v>
      </c>
      <c r="E114" s="61">
        <f>IF(Y345=1,$T$43+6,E113)</f>
        <v>2009</v>
      </c>
      <c r="F114" s="62" t="str">
        <f>VLOOKUP(Y$345,W$344:X$355,2)</f>
        <v>Feb</v>
      </c>
      <c r="G114" s="63">
        <f t="shared" si="19"/>
        <v>1</v>
      </c>
      <c r="H114" s="63">
        <f t="shared" si="5"/>
        <v>0</v>
      </c>
      <c r="I114" s="64">
        <f t="shared" si="22"/>
        <v>12278.909999999994</v>
      </c>
      <c r="J114" s="64">
        <f t="shared" si="14"/>
        <v>264.3</v>
      </c>
      <c r="K114" s="73">
        <f t="shared" si="15"/>
        <v>50</v>
      </c>
      <c r="L114" s="64">
        <f t="shared" si="7"/>
        <v>314.3</v>
      </c>
      <c r="M114" s="66">
        <f t="shared" si="8"/>
        <v>314.3</v>
      </c>
      <c r="N114" s="66">
        <f t="shared" si="9"/>
        <v>50</v>
      </c>
      <c r="O114" s="67">
        <f t="shared" si="10"/>
        <v>0</v>
      </c>
      <c r="P114" s="64">
        <f t="shared" si="11"/>
        <v>161.98000000000002</v>
      </c>
      <c r="Q114" s="64">
        <f t="shared" si="20"/>
        <v>102.32</v>
      </c>
      <c r="R114" s="64">
        <f>IF(ISTEXT($I$40),"",SUM(P$53:P114))</f>
        <v>7883.07</v>
      </c>
      <c r="S114" s="64">
        <f>IF(ISTEXT($I$40),"",SUM(Q$53:Q114))</f>
        <v>8503.529999999999</v>
      </c>
      <c r="T114" s="64">
        <f t="shared" si="21"/>
        <v>12116.929999999995</v>
      </c>
      <c r="V114" s="68">
        <f t="shared" si="16"/>
        <v>3100</v>
      </c>
      <c r="W114" s="55"/>
      <c r="X114" s="55"/>
      <c r="Y114" s="55"/>
      <c r="AC114" s="62">
        <f>VLOOKUP(Y$345,W$344:X$355,1)</f>
        <v>2</v>
      </c>
      <c r="AD114" s="69">
        <f t="shared" si="12"/>
        <v>39845</v>
      </c>
      <c r="AE114" s="69">
        <f t="shared" si="13"/>
        <v>39845</v>
      </c>
    </row>
    <row r="115" spans="2:31" ht="11.25" customHeight="1">
      <c r="B115" s="59">
        <f t="shared" si="3"/>
        <v>2009</v>
      </c>
      <c r="C115" s="57">
        <f>VLOOKUP(Y$346,W$344:$X$355,1)</f>
        <v>3</v>
      </c>
      <c r="D115" s="55">
        <f t="shared" si="4"/>
        <v>1</v>
      </c>
      <c r="E115" s="61">
        <f aca="true" t="shared" si="23" ref="E115:E124">IF(Y346=1,$T$43+6,E114)</f>
        <v>2009</v>
      </c>
      <c r="F115" s="62" t="str">
        <f>VLOOKUP(Y$346,W$344:X$355,2)</f>
        <v>Mar</v>
      </c>
      <c r="G115" s="63">
        <f t="shared" si="19"/>
        <v>1</v>
      </c>
      <c r="H115" s="63">
        <f t="shared" si="5"/>
        <v>0</v>
      </c>
      <c r="I115" s="64">
        <f t="shared" si="22"/>
        <v>12116.929999999995</v>
      </c>
      <c r="J115" s="64">
        <f t="shared" si="14"/>
        <v>264.3</v>
      </c>
      <c r="K115" s="73">
        <f t="shared" si="15"/>
        <v>50</v>
      </c>
      <c r="L115" s="64">
        <f t="shared" si="7"/>
        <v>314.3</v>
      </c>
      <c r="M115" s="66">
        <f t="shared" si="8"/>
        <v>314.3</v>
      </c>
      <c r="N115" s="66">
        <f t="shared" si="9"/>
        <v>50</v>
      </c>
      <c r="O115" s="67">
        <f t="shared" si="10"/>
        <v>0</v>
      </c>
      <c r="P115" s="64">
        <f t="shared" si="11"/>
        <v>163.33</v>
      </c>
      <c r="Q115" s="64">
        <f t="shared" si="20"/>
        <v>100.97</v>
      </c>
      <c r="R115" s="64">
        <f>IF(ISTEXT($I$40),"",SUM(P$53:P115))</f>
        <v>8046.4</v>
      </c>
      <c r="S115" s="64">
        <f>IF(ISTEXT($I$40),"",SUM(Q$53:Q115))</f>
        <v>8604.499999999998</v>
      </c>
      <c r="T115" s="64">
        <f t="shared" si="21"/>
        <v>11953.599999999995</v>
      </c>
      <c r="V115" s="68">
        <f t="shared" si="16"/>
        <v>3150</v>
      </c>
      <c r="W115" s="55"/>
      <c r="X115" s="55"/>
      <c r="Y115" s="55"/>
      <c r="AC115" s="62">
        <f>VLOOKUP(Y$346,W$344:X$355,1)</f>
        <v>3</v>
      </c>
      <c r="AD115" s="69">
        <f t="shared" si="12"/>
        <v>39873</v>
      </c>
      <c r="AE115" s="69">
        <f t="shared" si="13"/>
        <v>39873</v>
      </c>
    </row>
    <row r="116" spans="2:31" ht="11.25" customHeight="1">
      <c r="B116" s="59">
        <f t="shared" si="3"/>
        <v>2009</v>
      </c>
      <c r="C116" s="57">
        <f>VLOOKUP(Y$347,W$344:$X$355,1)</f>
        <v>4</v>
      </c>
      <c r="D116" s="55">
        <f t="shared" si="4"/>
        <v>1</v>
      </c>
      <c r="E116" s="61">
        <f t="shared" si="23"/>
        <v>2009</v>
      </c>
      <c r="F116" s="62" t="str">
        <f>VLOOKUP(Y$347,W$344:X$355,2)</f>
        <v>Apr</v>
      </c>
      <c r="G116" s="63">
        <f t="shared" si="19"/>
        <v>1</v>
      </c>
      <c r="H116" s="63">
        <f t="shared" si="5"/>
        <v>0</v>
      </c>
      <c r="I116" s="64">
        <f t="shared" si="22"/>
        <v>11953.599999999995</v>
      </c>
      <c r="J116" s="64">
        <f t="shared" si="14"/>
        <v>264.3</v>
      </c>
      <c r="K116" s="73">
        <f t="shared" si="15"/>
        <v>50</v>
      </c>
      <c r="L116" s="64">
        <f t="shared" si="7"/>
        <v>314.3</v>
      </c>
      <c r="M116" s="66">
        <f t="shared" si="8"/>
        <v>314.3</v>
      </c>
      <c r="N116" s="66">
        <f t="shared" si="9"/>
        <v>50</v>
      </c>
      <c r="O116" s="67">
        <f t="shared" si="10"/>
        <v>0</v>
      </c>
      <c r="P116" s="64">
        <f t="shared" si="11"/>
        <v>164.69</v>
      </c>
      <c r="Q116" s="64">
        <f t="shared" si="20"/>
        <v>99.61</v>
      </c>
      <c r="R116" s="64">
        <f>IF(ISTEXT($I$40),"",SUM(P$53:P116))</f>
        <v>8211.09</v>
      </c>
      <c r="S116" s="64">
        <f>IF(ISTEXT($I$40),"",SUM(Q$53:Q116))</f>
        <v>8704.109999999999</v>
      </c>
      <c r="T116" s="64">
        <f t="shared" si="21"/>
        <v>11788.909999999994</v>
      </c>
      <c r="V116" s="68">
        <f t="shared" si="16"/>
        <v>3200</v>
      </c>
      <c r="W116" s="55"/>
      <c r="X116" s="55"/>
      <c r="Y116" s="55"/>
      <c r="AC116" s="62">
        <f>VLOOKUP(Y$347,W$344:X$355,1)</f>
        <v>4</v>
      </c>
      <c r="AD116" s="69">
        <f t="shared" si="12"/>
        <v>39904</v>
      </c>
      <c r="AE116" s="69">
        <f t="shared" si="13"/>
        <v>39904</v>
      </c>
    </row>
    <row r="117" spans="2:31" ht="11.25" customHeight="1">
      <c r="B117" s="59">
        <f t="shared" si="3"/>
        <v>2009</v>
      </c>
      <c r="C117" s="57">
        <f>VLOOKUP(Y$348,W$344:$X$355,1)</f>
        <v>5</v>
      </c>
      <c r="D117" s="55">
        <f t="shared" si="4"/>
        <v>1</v>
      </c>
      <c r="E117" s="61">
        <f t="shared" si="23"/>
        <v>2009</v>
      </c>
      <c r="F117" s="62" t="str">
        <f>VLOOKUP(Y$348,W$344:X$355,2)</f>
        <v>May</v>
      </c>
      <c r="G117" s="63">
        <f aca="true" t="shared" si="24" ref="G117:G148">$T$45</f>
        <v>1</v>
      </c>
      <c r="H117" s="63">
        <f t="shared" si="5"/>
        <v>0</v>
      </c>
      <c r="I117" s="64">
        <f t="shared" si="22"/>
        <v>11788.909999999994</v>
      </c>
      <c r="J117" s="64">
        <f t="shared" si="14"/>
        <v>264.3</v>
      </c>
      <c r="K117" s="73">
        <f t="shared" si="15"/>
        <v>50</v>
      </c>
      <c r="L117" s="64">
        <f t="shared" si="7"/>
        <v>314.3</v>
      </c>
      <c r="M117" s="66">
        <f t="shared" si="8"/>
        <v>314.3</v>
      </c>
      <c r="N117" s="66">
        <f t="shared" si="9"/>
        <v>50</v>
      </c>
      <c r="O117" s="67">
        <f t="shared" si="10"/>
        <v>0</v>
      </c>
      <c r="P117" s="64">
        <f t="shared" si="11"/>
        <v>166.06</v>
      </c>
      <c r="Q117" s="64">
        <f aca="true" t="shared" si="25" ref="Q117:Q148">IF(ISTEXT(I$40),"",ROUND(I117*(T$41/12),2))</f>
        <v>98.24</v>
      </c>
      <c r="R117" s="64">
        <f>IF(ISTEXT($I$40),"",SUM(P$53:P117))</f>
        <v>8377.15</v>
      </c>
      <c r="S117" s="64">
        <f>IF(ISTEXT($I$40),"",SUM(Q$53:Q117))</f>
        <v>8802.349999999999</v>
      </c>
      <c r="T117" s="64">
        <f aca="true" t="shared" si="26" ref="T117:T148">IF(ISTEXT(I$40),"",I117-P117)</f>
        <v>11622.849999999995</v>
      </c>
      <c r="V117" s="68">
        <f t="shared" si="16"/>
        <v>3250</v>
      </c>
      <c r="W117" s="55"/>
      <c r="X117" s="55"/>
      <c r="Y117" s="55"/>
      <c r="AC117" s="62">
        <f>VLOOKUP(Y$348,W$344:X$355,1)</f>
        <v>5</v>
      </c>
      <c r="AD117" s="69">
        <f t="shared" si="12"/>
        <v>39934</v>
      </c>
      <c r="AE117" s="69">
        <f t="shared" si="13"/>
        <v>39934</v>
      </c>
    </row>
    <row r="118" spans="2:31" ht="11.25" customHeight="1">
      <c r="B118" s="59">
        <f aca="true" t="shared" si="27" ref="B118:B172">E118</f>
        <v>2009</v>
      </c>
      <c r="C118" s="57">
        <f>VLOOKUP(Y$349,W$344:$X$355,1)</f>
        <v>6</v>
      </c>
      <c r="D118" s="55">
        <f aca="true" t="shared" si="28" ref="D118:D172">G118</f>
        <v>1</v>
      </c>
      <c r="E118" s="61">
        <f t="shared" si="23"/>
        <v>2009</v>
      </c>
      <c r="F118" s="62" t="str">
        <f>VLOOKUP(Y$349,W$344:X$355,2)</f>
        <v>Jun</v>
      </c>
      <c r="G118" s="63">
        <f t="shared" si="24"/>
        <v>1</v>
      </c>
      <c r="H118" s="63">
        <f aca="true" t="shared" si="29" ref="H118:H172">AE118-AD118</f>
        <v>0</v>
      </c>
      <c r="I118" s="64">
        <f aca="true" t="shared" si="30" ref="I118:I149">IF(ISTEXT(I$40),"",T117)</f>
        <v>11622.849999999995</v>
      </c>
      <c r="J118" s="64">
        <f t="shared" si="14"/>
        <v>264.3</v>
      </c>
      <c r="K118" s="73">
        <f t="shared" si="15"/>
        <v>50</v>
      </c>
      <c r="L118" s="64">
        <f aca="true" t="shared" si="31" ref="L118:L172">J118+K118</f>
        <v>314.3</v>
      </c>
      <c r="M118" s="66">
        <f aca="true" t="shared" si="32" ref="M118:M172">L118</f>
        <v>314.3</v>
      </c>
      <c r="N118" s="66">
        <f aca="true" t="shared" si="33" ref="N118:N172">K118</f>
        <v>50</v>
      </c>
      <c r="O118" s="67">
        <f aca="true" t="shared" si="34" ref="O118:O172">IF(H118&gt;$T$47,$T$46,0)</f>
        <v>0</v>
      </c>
      <c r="P118" s="64">
        <f aca="true" t="shared" si="35" ref="P118:P172">IF(ISTEXT(I$40),"",M118-Q118-O118-N118)</f>
        <v>167.44</v>
      </c>
      <c r="Q118" s="64">
        <f t="shared" si="25"/>
        <v>96.86</v>
      </c>
      <c r="R118" s="64">
        <f>IF(ISTEXT($I$40),"",SUM(P$53:P118))</f>
        <v>8544.59</v>
      </c>
      <c r="S118" s="64">
        <f>IF(ISTEXT($I$40),"",SUM(Q$53:Q118))</f>
        <v>8899.21</v>
      </c>
      <c r="T118" s="64">
        <f t="shared" si="26"/>
        <v>11455.409999999994</v>
      </c>
      <c r="V118" s="68">
        <f t="shared" si="16"/>
        <v>3300</v>
      </c>
      <c r="W118" s="55"/>
      <c r="X118" s="55"/>
      <c r="Y118" s="55"/>
      <c r="AC118" s="62">
        <f>VLOOKUP(Y$349,W$344:X$355,1)</f>
        <v>6</v>
      </c>
      <c r="AD118" s="69">
        <f aca="true" t="shared" si="36" ref="AD118:AD172">DATE(E118,AC118,G118)</f>
        <v>39965</v>
      </c>
      <c r="AE118" s="69">
        <f aca="true" t="shared" si="37" ref="AE118:AE172">DATE(B118,C118,D118)</f>
        <v>39965</v>
      </c>
    </row>
    <row r="119" spans="2:31" ht="11.25" customHeight="1">
      <c r="B119" s="59">
        <f t="shared" si="27"/>
        <v>2009</v>
      </c>
      <c r="C119" s="57">
        <f>VLOOKUP(Y$350,W$344:$X$355,1)</f>
        <v>7</v>
      </c>
      <c r="D119" s="55">
        <f t="shared" si="28"/>
        <v>1</v>
      </c>
      <c r="E119" s="61">
        <f t="shared" si="23"/>
        <v>2009</v>
      </c>
      <c r="F119" s="62" t="str">
        <f>VLOOKUP(Y$350,W$344:X$355,2)</f>
        <v>Jul</v>
      </c>
      <c r="G119" s="63">
        <f t="shared" si="24"/>
        <v>1</v>
      </c>
      <c r="H119" s="63">
        <f t="shared" si="29"/>
        <v>0</v>
      </c>
      <c r="I119" s="64">
        <f t="shared" si="30"/>
        <v>11455.409999999994</v>
      </c>
      <c r="J119" s="64">
        <f aca="true" t="shared" si="38" ref="J119:J172">IF(ISTEXT(I$41),"",I$41)+(O118+(L118-M118))</f>
        <v>264.3</v>
      </c>
      <c r="K119" s="73">
        <f aca="true" t="shared" si="39" ref="K119:K172">K118</f>
        <v>50</v>
      </c>
      <c r="L119" s="64">
        <f t="shared" si="31"/>
        <v>314.3</v>
      </c>
      <c r="M119" s="66">
        <f t="shared" si="32"/>
        <v>314.3</v>
      </c>
      <c r="N119" s="66">
        <f t="shared" si="33"/>
        <v>50</v>
      </c>
      <c r="O119" s="67">
        <f t="shared" si="34"/>
        <v>0</v>
      </c>
      <c r="P119" s="64">
        <f t="shared" si="35"/>
        <v>168.84000000000003</v>
      </c>
      <c r="Q119" s="64">
        <f t="shared" si="25"/>
        <v>95.46</v>
      </c>
      <c r="R119" s="64">
        <f>IF(ISTEXT($I$40),"",SUM(P$53:P119))</f>
        <v>8713.43</v>
      </c>
      <c r="S119" s="64">
        <f>IF(ISTEXT($I$40),"",SUM(Q$53:Q119))</f>
        <v>8994.669999999998</v>
      </c>
      <c r="T119" s="64">
        <f t="shared" si="26"/>
        <v>11286.569999999994</v>
      </c>
      <c r="V119" s="68">
        <f aca="true" t="shared" si="40" ref="V119:V172">N119+V118-Y119</f>
        <v>3350</v>
      </c>
      <c r="W119" s="55"/>
      <c r="X119" s="55"/>
      <c r="Y119" s="55"/>
      <c r="AC119" s="62">
        <f>VLOOKUP(Y$350,W$344:X$355,1)</f>
        <v>7</v>
      </c>
      <c r="AD119" s="69">
        <f t="shared" si="36"/>
        <v>39995</v>
      </c>
      <c r="AE119" s="69">
        <f t="shared" si="37"/>
        <v>39995</v>
      </c>
    </row>
    <row r="120" spans="2:31" ht="11.25" customHeight="1">
      <c r="B120" s="59">
        <f t="shared" si="27"/>
        <v>2009</v>
      </c>
      <c r="C120" s="57">
        <f>VLOOKUP(Y$351,W$344:$X$355,1)</f>
        <v>8</v>
      </c>
      <c r="D120" s="55">
        <f t="shared" si="28"/>
        <v>1</v>
      </c>
      <c r="E120" s="61">
        <f t="shared" si="23"/>
        <v>2009</v>
      </c>
      <c r="F120" s="62" t="str">
        <f>VLOOKUP(Y$351,W$344:X$355,2)</f>
        <v>Aug</v>
      </c>
      <c r="G120" s="63">
        <f t="shared" si="24"/>
        <v>1</v>
      </c>
      <c r="H120" s="63">
        <f t="shared" si="29"/>
        <v>0</v>
      </c>
      <c r="I120" s="64">
        <f t="shared" si="30"/>
        <v>11286.569999999994</v>
      </c>
      <c r="J120" s="64">
        <f t="shared" si="38"/>
        <v>264.3</v>
      </c>
      <c r="K120" s="73">
        <f t="shared" si="39"/>
        <v>50</v>
      </c>
      <c r="L120" s="64">
        <f t="shared" si="31"/>
        <v>314.3</v>
      </c>
      <c r="M120" s="66">
        <f t="shared" si="32"/>
        <v>314.3</v>
      </c>
      <c r="N120" s="66">
        <f t="shared" si="33"/>
        <v>50</v>
      </c>
      <c r="O120" s="67">
        <f t="shared" si="34"/>
        <v>0</v>
      </c>
      <c r="P120" s="64">
        <f t="shared" si="35"/>
        <v>170.25</v>
      </c>
      <c r="Q120" s="64">
        <f t="shared" si="25"/>
        <v>94.05</v>
      </c>
      <c r="R120" s="64">
        <f>IF(ISTEXT($I$40),"",SUM(P$53:P120))</f>
        <v>8883.68</v>
      </c>
      <c r="S120" s="64">
        <f>IF(ISTEXT($I$40),"",SUM(Q$53:Q120))</f>
        <v>9088.719999999998</v>
      </c>
      <c r="T120" s="64">
        <f t="shared" si="26"/>
        <v>11116.319999999994</v>
      </c>
      <c r="V120" s="68">
        <f t="shared" si="40"/>
        <v>3400</v>
      </c>
      <c r="W120" s="55"/>
      <c r="X120" s="55"/>
      <c r="Y120" s="55"/>
      <c r="AC120" s="62">
        <f>VLOOKUP(Y$351,W$344:X$355,1)</f>
        <v>8</v>
      </c>
      <c r="AD120" s="69">
        <f t="shared" si="36"/>
        <v>40026</v>
      </c>
      <c r="AE120" s="69">
        <f t="shared" si="37"/>
        <v>40026</v>
      </c>
    </row>
    <row r="121" spans="2:31" ht="11.25" customHeight="1">
      <c r="B121" s="59">
        <f t="shared" si="27"/>
        <v>2009</v>
      </c>
      <c r="C121" s="57">
        <f>VLOOKUP(Y$352,W$344:$X$355,1)</f>
        <v>9</v>
      </c>
      <c r="D121" s="55">
        <f t="shared" si="28"/>
        <v>1</v>
      </c>
      <c r="E121" s="61">
        <f t="shared" si="23"/>
        <v>2009</v>
      </c>
      <c r="F121" s="62" t="str">
        <f>VLOOKUP(Y$352,W$344:X$355,2)</f>
        <v>Sep</v>
      </c>
      <c r="G121" s="63">
        <f t="shared" si="24"/>
        <v>1</v>
      </c>
      <c r="H121" s="63">
        <f t="shared" si="29"/>
        <v>0</v>
      </c>
      <c r="I121" s="64">
        <f t="shared" si="30"/>
        <v>11116.319999999994</v>
      </c>
      <c r="J121" s="64">
        <f t="shared" si="38"/>
        <v>264.3</v>
      </c>
      <c r="K121" s="73">
        <f t="shared" si="39"/>
        <v>50</v>
      </c>
      <c r="L121" s="64">
        <f t="shared" si="31"/>
        <v>314.3</v>
      </c>
      <c r="M121" s="66">
        <f t="shared" si="32"/>
        <v>314.3</v>
      </c>
      <c r="N121" s="66">
        <f t="shared" si="33"/>
        <v>50</v>
      </c>
      <c r="O121" s="67">
        <f t="shared" si="34"/>
        <v>0</v>
      </c>
      <c r="P121" s="64">
        <f t="shared" si="35"/>
        <v>171.66000000000003</v>
      </c>
      <c r="Q121" s="64">
        <f t="shared" si="25"/>
        <v>92.64</v>
      </c>
      <c r="R121" s="64">
        <f>IF(ISTEXT($I$40),"",SUM(P$53:P121))</f>
        <v>9055.34</v>
      </c>
      <c r="S121" s="64">
        <f>IF(ISTEXT($I$40),"",SUM(Q$53:Q121))</f>
        <v>9181.359999999997</v>
      </c>
      <c r="T121" s="64">
        <f t="shared" si="26"/>
        <v>10944.659999999994</v>
      </c>
      <c r="V121" s="68">
        <f t="shared" si="40"/>
        <v>3450</v>
      </c>
      <c r="W121" s="55"/>
      <c r="X121" s="55"/>
      <c r="Y121" s="55"/>
      <c r="AC121" s="62">
        <f>VLOOKUP(Y$352,W$344:X$355,1)</f>
        <v>9</v>
      </c>
      <c r="AD121" s="69">
        <f t="shared" si="36"/>
        <v>40057</v>
      </c>
      <c r="AE121" s="69">
        <f t="shared" si="37"/>
        <v>40057</v>
      </c>
    </row>
    <row r="122" spans="2:31" ht="11.25" customHeight="1">
      <c r="B122" s="59">
        <f t="shared" si="27"/>
        <v>2009</v>
      </c>
      <c r="C122" s="57">
        <f>VLOOKUP(Y$353,W$344:$X$355,1)</f>
        <v>10</v>
      </c>
      <c r="D122" s="55">
        <f t="shared" si="28"/>
        <v>1</v>
      </c>
      <c r="E122" s="61">
        <f t="shared" si="23"/>
        <v>2009</v>
      </c>
      <c r="F122" s="62" t="str">
        <f>VLOOKUP(Y$353,W$344:X$355,2)</f>
        <v>Oct</v>
      </c>
      <c r="G122" s="63">
        <f t="shared" si="24"/>
        <v>1</v>
      </c>
      <c r="H122" s="63">
        <f t="shared" si="29"/>
        <v>0</v>
      </c>
      <c r="I122" s="64">
        <f t="shared" si="30"/>
        <v>10944.659999999994</v>
      </c>
      <c r="J122" s="64">
        <f t="shared" si="38"/>
        <v>264.3</v>
      </c>
      <c r="K122" s="73">
        <f t="shared" si="39"/>
        <v>50</v>
      </c>
      <c r="L122" s="64">
        <f t="shared" si="31"/>
        <v>314.3</v>
      </c>
      <c r="M122" s="66">
        <f t="shared" si="32"/>
        <v>314.3</v>
      </c>
      <c r="N122" s="66">
        <f t="shared" si="33"/>
        <v>50</v>
      </c>
      <c r="O122" s="67">
        <f t="shared" si="34"/>
        <v>0</v>
      </c>
      <c r="P122" s="64">
        <f t="shared" si="35"/>
        <v>173.09000000000003</v>
      </c>
      <c r="Q122" s="64">
        <f t="shared" si="25"/>
        <v>91.21</v>
      </c>
      <c r="R122" s="64">
        <f>IF(ISTEXT($I$40),"",SUM(P$53:P122))</f>
        <v>9228.43</v>
      </c>
      <c r="S122" s="64">
        <f>IF(ISTEXT($I$40),"",SUM(Q$53:Q122))</f>
        <v>9272.569999999996</v>
      </c>
      <c r="T122" s="64">
        <f t="shared" si="26"/>
        <v>10771.569999999994</v>
      </c>
      <c r="V122" s="68">
        <f t="shared" si="40"/>
        <v>3500</v>
      </c>
      <c r="W122" s="55"/>
      <c r="X122" s="55"/>
      <c r="Y122" s="55"/>
      <c r="AC122" s="62">
        <f>VLOOKUP(Y$353,W$344:X$355,1)</f>
        <v>10</v>
      </c>
      <c r="AD122" s="69">
        <f t="shared" si="36"/>
        <v>40087</v>
      </c>
      <c r="AE122" s="69">
        <f t="shared" si="37"/>
        <v>40087</v>
      </c>
    </row>
    <row r="123" spans="2:31" ht="11.25" customHeight="1">
      <c r="B123" s="59">
        <f t="shared" si="27"/>
        <v>2009</v>
      </c>
      <c r="C123" s="57">
        <f>VLOOKUP(Y$354,W$344:$X$355,1)</f>
        <v>11</v>
      </c>
      <c r="D123" s="55">
        <f t="shared" si="28"/>
        <v>1</v>
      </c>
      <c r="E123" s="61">
        <f t="shared" si="23"/>
        <v>2009</v>
      </c>
      <c r="F123" s="62" t="str">
        <f>VLOOKUP(Y$354,W$344:X$355,2)</f>
        <v>Nov</v>
      </c>
      <c r="G123" s="63">
        <f t="shared" si="24"/>
        <v>1</v>
      </c>
      <c r="H123" s="63">
        <f t="shared" si="29"/>
        <v>0</v>
      </c>
      <c r="I123" s="64">
        <f t="shared" si="30"/>
        <v>10771.569999999994</v>
      </c>
      <c r="J123" s="64">
        <f t="shared" si="38"/>
        <v>264.3</v>
      </c>
      <c r="K123" s="73">
        <f t="shared" si="39"/>
        <v>50</v>
      </c>
      <c r="L123" s="64">
        <f t="shared" si="31"/>
        <v>314.3</v>
      </c>
      <c r="M123" s="66">
        <f t="shared" si="32"/>
        <v>314.3</v>
      </c>
      <c r="N123" s="66">
        <f t="shared" si="33"/>
        <v>50</v>
      </c>
      <c r="O123" s="67">
        <f t="shared" si="34"/>
        <v>0</v>
      </c>
      <c r="P123" s="64">
        <f t="shared" si="35"/>
        <v>174.54000000000002</v>
      </c>
      <c r="Q123" s="64">
        <f t="shared" si="25"/>
        <v>89.76</v>
      </c>
      <c r="R123" s="64">
        <f>IF(ISTEXT($I$40),"",SUM(P$53:P123))</f>
        <v>9402.970000000001</v>
      </c>
      <c r="S123" s="64">
        <f>IF(ISTEXT($I$40),"",SUM(Q$53:Q123))</f>
        <v>9362.329999999996</v>
      </c>
      <c r="T123" s="64">
        <f t="shared" si="26"/>
        <v>10597.029999999993</v>
      </c>
      <c r="V123" s="68">
        <f t="shared" si="40"/>
        <v>3550</v>
      </c>
      <c r="W123" s="55"/>
      <c r="X123" s="55"/>
      <c r="Y123" s="55"/>
      <c r="AC123" s="62">
        <f>VLOOKUP(Y$354,W$344:X$355,1)</f>
        <v>11</v>
      </c>
      <c r="AD123" s="69">
        <f t="shared" si="36"/>
        <v>40118</v>
      </c>
      <c r="AE123" s="69">
        <f t="shared" si="37"/>
        <v>40118</v>
      </c>
    </row>
    <row r="124" spans="2:31" ht="11.25" customHeight="1">
      <c r="B124" s="59">
        <f t="shared" si="27"/>
        <v>2009</v>
      </c>
      <c r="C124" s="57">
        <f>VLOOKUP(Y$355,W$344:$X$355,1)</f>
        <v>12</v>
      </c>
      <c r="D124" s="55">
        <f t="shared" si="28"/>
        <v>1</v>
      </c>
      <c r="E124" s="61">
        <f t="shared" si="23"/>
        <v>2009</v>
      </c>
      <c r="F124" s="62" t="str">
        <f>VLOOKUP(Y$355,W$344:X$355,2)</f>
        <v>Dec</v>
      </c>
      <c r="G124" s="63">
        <f t="shared" si="24"/>
        <v>1</v>
      </c>
      <c r="H124" s="63">
        <f t="shared" si="29"/>
        <v>0</v>
      </c>
      <c r="I124" s="64">
        <f t="shared" si="30"/>
        <v>10597.029999999993</v>
      </c>
      <c r="J124" s="64">
        <f t="shared" si="38"/>
        <v>264.3</v>
      </c>
      <c r="K124" s="73">
        <f t="shared" si="39"/>
        <v>50</v>
      </c>
      <c r="L124" s="64">
        <f t="shared" si="31"/>
        <v>314.3</v>
      </c>
      <c r="M124" s="66">
        <f t="shared" si="32"/>
        <v>314.3</v>
      </c>
      <c r="N124" s="66">
        <f t="shared" si="33"/>
        <v>50</v>
      </c>
      <c r="O124" s="67">
        <f t="shared" si="34"/>
        <v>0</v>
      </c>
      <c r="P124" s="64">
        <f t="shared" si="35"/>
        <v>175.99</v>
      </c>
      <c r="Q124" s="64">
        <f t="shared" si="25"/>
        <v>88.31</v>
      </c>
      <c r="R124" s="64">
        <f>IF(ISTEXT($I$40),"",SUM(P$53:P124))</f>
        <v>9578.960000000001</v>
      </c>
      <c r="S124" s="64">
        <f>IF(ISTEXT($I$40),"",SUM(Q$53:Q124))</f>
        <v>9450.639999999996</v>
      </c>
      <c r="T124" s="64">
        <f t="shared" si="26"/>
        <v>10421.039999999994</v>
      </c>
      <c r="V124" s="68">
        <f t="shared" si="40"/>
        <v>3600</v>
      </c>
      <c r="W124" s="55"/>
      <c r="X124" s="55"/>
      <c r="Y124" s="55"/>
      <c r="AC124" s="62">
        <f>VLOOKUP(Y$355,W$344:X$355,1)</f>
        <v>12</v>
      </c>
      <c r="AD124" s="69">
        <f t="shared" si="36"/>
        <v>40148</v>
      </c>
      <c r="AE124" s="69">
        <f t="shared" si="37"/>
        <v>40148</v>
      </c>
    </row>
    <row r="125" spans="2:31" ht="11.25" customHeight="1">
      <c r="B125" s="59">
        <f t="shared" si="27"/>
        <v>2010</v>
      </c>
      <c r="C125" s="57">
        <f>VLOOKUP(Y$344,W$344:$X$355,1)</f>
        <v>1</v>
      </c>
      <c r="D125" s="55">
        <f t="shared" si="28"/>
        <v>1</v>
      </c>
      <c r="E125" s="61">
        <f>IF(Y344=1,$T$43+6,E124)</f>
        <v>2010</v>
      </c>
      <c r="F125" s="62" t="str">
        <f>VLOOKUP(Y$344,W$344:X$355,2)</f>
        <v>Jan</v>
      </c>
      <c r="G125" s="63">
        <f t="shared" si="24"/>
        <v>1</v>
      </c>
      <c r="H125" s="63">
        <f t="shared" si="29"/>
        <v>0</v>
      </c>
      <c r="I125" s="64">
        <f t="shared" si="30"/>
        <v>10421.039999999994</v>
      </c>
      <c r="J125" s="64">
        <f t="shared" si="38"/>
        <v>264.3</v>
      </c>
      <c r="K125" s="73">
        <f t="shared" si="39"/>
        <v>50</v>
      </c>
      <c r="L125" s="64">
        <f t="shared" si="31"/>
        <v>314.3</v>
      </c>
      <c r="M125" s="66">
        <f t="shared" si="32"/>
        <v>314.3</v>
      </c>
      <c r="N125" s="66">
        <f t="shared" si="33"/>
        <v>50</v>
      </c>
      <c r="O125" s="67">
        <f t="shared" si="34"/>
        <v>0</v>
      </c>
      <c r="P125" s="64">
        <f t="shared" si="35"/>
        <v>177.46</v>
      </c>
      <c r="Q125" s="64">
        <f t="shared" si="25"/>
        <v>86.84</v>
      </c>
      <c r="R125" s="64">
        <f>IF(ISTEXT($I$40),"",SUM(P$53:P125))</f>
        <v>9756.42</v>
      </c>
      <c r="S125" s="64">
        <f>IF(ISTEXT($I$40),"",SUM(Q$53:Q125))</f>
        <v>9537.479999999996</v>
      </c>
      <c r="T125" s="64">
        <f t="shared" si="26"/>
        <v>10243.579999999994</v>
      </c>
      <c r="V125" s="68">
        <f t="shared" si="40"/>
        <v>3650</v>
      </c>
      <c r="W125" s="55"/>
      <c r="X125" s="55"/>
      <c r="Y125" s="55"/>
      <c r="AC125" s="62">
        <f>VLOOKUP(Y$344,W$344:X$355,1)</f>
        <v>1</v>
      </c>
      <c r="AD125" s="69">
        <f t="shared" si="36"/>
        <v>40179</v>
      </c>
      <c r="AE125" s="69">
        <f t="shared" si="37"/>
        <v>40179</v>
      </c>
    </row>
    <row r="126" spans="2:31" ht="11.25" customHeight="1">
      <c r="B126" s="59">
        <f t="shared" si="27"/>
        <v>2010</v>
      </c>
      <c r="C126" s="57">
        <f>VLOOKUP(Y$345,W$344:$X$355,1)</f>
        <v>2</v>
      </c>
      <c r="D126" s="55">
        <f t="shared" si="28"/>
        <v>1</v>
      </c>
      <c r="E126" s="61">
        <f aca="true" t="shared" si="41" ref="E126:E136">IF(Y345=1,$T$43+7,E125)</f>
        <v>2010</v>
      </c>
      <c r="F126" s="62" t="str">
        <f>VLOOKUP(Y$345,W$344:X$355,2)</f>
        <v>Feb</v>
      </c>
      <c r="G126" s="63">
        <f t="shared" si="24"/>
        <v>1</v>
      </c>
      <c r="H126" s="63">
        <f t="shared" si="29"/>
        <v>0</v>
      </c>
      <c r="I126" s="64">
        <f t="shared" si="30"/>
        <v>10243.579999999994</v>
      </c>
      <c r="J126" s="64">
        <f t="shared" si="38"/>
        <v>264.3</v>
      </c>
      <c r="K126" s="73">
        <f t="shared" si="39"/>
        <v>50</v>
      </c>
      <c r="L126" s="64">
        <f t="shared" si="31"/>
        <v>314.3</v>
      </c>
      <c r="M126" s="66">
        <f t="shared" si="32"/>
        <v>314.3</v>
      </c>
      <c r="N126" s="66">
        <f t="shared" si="33"/>
        <v>50</v>
      </c>
      <c r="O126" s="67">
        <f t="shared" si="34"/>
        <v>0</v>
      </c>
      <c r="P126" s="64">
        <f t="shared" si="35"/>
        <v>178.94</v>
      </c>
      <c r="Q126" s="64">
        <f t="shared" si="25"/>
        <v>85.36</v>
      </c>
      <c r="R126" s="64">
        <f>IF(ISTEXT($I$40),"",SUM(P$53:P126))</f>
        <v>9935.36</v>
      </c>
      <c r="S126" s="64">
        <f>IF(ISTEXT($I$40),"",SUM(Q$53:Q126))</f>
        <v>9622.839999999997</v>
      </c>
      <c r="T126" s="64">
        <f t="shared" si="26"/>
        <v>10064.639999999994</v>
      </c>
      <c r="V126" s="68">
        <f t="shared" si="40"/>
        <v>3700</v>
      </c>
      <c r="W126" s="55"/>
      <c r="X126" s="55"/>
      <c r="Y126" s="55"/>
      <c r="AC126" s="62">
        <f>VLOOKUP(Y$345,W$344:X$355,1)</f>
        <v>2</v>
      </c>
      <c r="AD126" s="69">
        <f t="shared" si="36"/>
        <v>40210</v>
      </c>
      <c r="AE126" s="69">
        <f t="shared" si="37"/>
        <v>40210</v>
      </c>
    </row>
    <row r="127" spans="2:31" ht="11.25" customHeight="1">
      <c r="B127" s="59">
        <f t="shared" si="27"/>
        <v>2010</v>
      </c>
      <c r="C127" s="57">
        <f>VLOOKUP(Y$346,W$344:$X$355,1)</f>
        <v>3</v>
      </c>
      <c r="D127" s="55">
        <f t="shared" si="28"/>
        <v>1</v>
      </c>
      <c r="E127" s="61">
        <f t="shared" si="41"/>
        <v>2010</v>
      </c>
      <c r="F127" s="62" t="str">
        <f>VLOOKUP(Y$346,W$344:X$355,2)</f>
        <v>Mar</v>
      </c>
      <c r="G127" s="63">
        <f t="shared" si="24"/>
        <v>1</v>
      </c>
      <c r="H127" s="63">
        <f t="shared" si="29"/>
        <v>0</v>
      </c>
      <c r="I127" s="64">
        <f t="shared" si="30"/>
        <v>10064.639999999994</v>
      </c>
      <c r="J127" s="64">
        <f t="shared" si="38"/>
        <v>264.3</v>
      </c>
      <c r="K127" s="73">
        <f t="shared" si="39"/>
        <v>50</v>
      </c>
      <c r="L127" s="64">
        <f t="shared" si="31"/>
        <v>314.3</v>
      </c>
      <c r="M127" s="66">
        <f t="shared" si="32"/>
        <v>314.3</v>
      </c>
      <c r="N127" s="66">
        <f t="shared" si="33"/>
        <v>50</v>
      </c>
      <c r="O127" s="67">
        <f t="shared" si="34"/>
        <v>0</v>
      </c>
      <c r="P127" s="64">
        <f t="shared" si="35"/>
        <v>180.43</v>
      </c>
      <c r="Q127" s="64">
        <f t="shared" si="25"/>
        <v>83.87</v>
      </c>
      <c r="R127" s="64">
        <f>IF(ISTEXT($I$40),"",SUM(P$53:P127))</f>
        <v>10115.79</v>
      </c>
      <c r="S127" s="64">
        <f>IF(ISTEXT($I$40),"",SUM(Q$53:Q127))</f>
        <v>9706.709999999997</v>
      </c>
      <c r="T127" s="64">
        <f t="shared" si="26"/>
        <v>9884.209999999994</v>
      </c>
      <c r="V127" s="68">
        <f t="shared" si="40"/>
        <v>3750</v>
      </c>
      <c r="W127" s="55"/>
      <c r="X127" s="55"/>
      <c r="Y127" s="55"/>
      <c r="AC127" s="62">
        <f>VLOOKUP(Y$346,W$344:X$355,1)</f>
        <v>3</v>
      </c>
      <c r="AD127" s="69">
        <f t="shared" si="36"/>
        <v>40238</v>
      </c>
      <c r="AE127" s="69">
        <f t="shared" si="37"/>
        <v>40238</v>
      </c>
    </row>
    <row r="128" spans="2:31" ht="11.25" customHeight="1">
      <c r="B128" s="59">
        <f t="shared" si="27"/>
        <v>2010</v>
      </c>
      <c r="C128" s="57">
        <f>VLOOKUP(Y$347,W$344:$X$355,1)</f>
        <v>4</v>
      </c>
      <c r="D128" s="55">
        <f t="shared" si="28"/>
        <v>1</v>
      </c>
      <c r="E128" s="61">
        <f t="shared" si="41"/>
        <v>2010</v>
      </c>
      <c r="F128" s="62" t="str">
        <f>VLOOKUP(Y$347,W$344:X$355,2)</f>
        <v>Apr</v>
      </c>
      <c r="G128" s="63">
        <f t="shared" si="24"/>
        <v>1</v>
      </c>
      <c r="H128" s="63">
        <f t="shared" si="29"/>
        <v>0</v>
      </c>
      <c r="I128" s="64">
        <f t="shared" si="30"/>
        <v>9884.209999999994</v>
      </c>
      <c r="J128" s="64">
        <f t="shared" si="38"/>
        <v>264.3</v>
      </c>
      <c r="K128" s="73">
        <f t="shared" si="39"/>
        <v>50</v>
      </c>
      <c r="L128" s="64">
        <f t="shared" si="31"/>
        <v>314.3</v>
      </c>
      <c r="M128" s="66">
        <f t="shared" si="32"/>
        <v>314.3</v>
      </c>
      <c r="N128" s="66">
        <f t="shared" si="33"/>
        <v>50</v>
      </c>
      <c r="O128" s="67">
        <f t="shared" si="34"/>
        <v>0</v>
      </c>
      <c r="P128" s="64">
        <f t="shared" si="35"/>
        <v>181.93</v>
      </c>
      <c r="Q128" s="64">
        <f t="shared" si="25"/>
        <v>82.37</v>
      </c>
      <c r="R128" s="64">
        <f>IF(ISTEXT($I$40),"",SUM(P$53:P128))</f>
        <v>10297.720000000001</v>
      </c>
      <c r="S128" s="64">
        <f>IF(ISTEXT($I$40),"",SUM(Q$53:Q128))</f>
        <v>9789.079999999998</v>
      </c>
      <c r="T128" s="64">
        <f t="shared" si="26"/>
        <v>9702.279999999993</v>
      </c>
      <c r="V128" s="68">
        <f t="shared" si="40"/>
        <v>3800</v>
      </c>
      <c r="W128" s="55"/>
      <c r="X128" s="55"/>
      <c r="Y128" s="55"/>
      <c r="AC128" s="62">
        <f>VLOOKUP(Y$347,W$344:X$355,1)</f>
        <v>4</v>
      </c>
      <c r="AD128" s="69">
        <f t="shared" si="36"/>
        <v>40269</v>
      </c>
      <c r="AE128" s="69">
        <f t="shared" si="37"/>
        <v>40269</v>
      </c>
    </row>
    <row r="129" spans="2:31" ht="11.25" customHeight="1">
      <c r="B129" s="59">
        <f t="shared" si="27"/>
        <v>2010</v>
      </c>
      <c r="C129" s="57">
        <f>VLOOKUP(Y$348,W$344:$X$355,1)</f>
        <v>5</v>
      </c>
      <c r="D129" s="55">
        <f t="shared" si="28"/>
        <v>1</v>
      </c>
      <c r="E129" s="61">
        <f t="shared" si="41"/>
        <v>2010</v>
      </c>
      <c r="F129" s="62" t="str">
        <f>VLOOKUP(Y$348,W$344:X$355,2)</f>
        <v>May</v>
      </c>
      <c r="G129" s="63">
        <f t="shared" si="24"/>
        <v>1</v>
      </c>
      <c r="H129" s="63">
        <f t="shared" si="29"/>
        <v>0</v>
      </c>
      <c r="I129" s="64">
        <f t="shared" si="30"/>
        <v>9702.279999999993</v>
      </c>
      <c r="J129" s="64">
        <f t="shared" si="38"/>
        <v>264.3</v>
      </c>
      <c r="K129" s="73">
        <f t="shared" si="39"/>
        <v>50</v>
      </c>
      <c r="L129" s="64">
        <f t="shared" si="31"/>
        <v>314.3</v>
      </c>
      <c r="M129" s="66">
        <f t="shared" si="32"/>
        <v>314.3</v>
      </c>
      <c r="N129" s="66">
        <f t="shared" si="33"/>
        <v>50</v>
      </c>
      <c r="O129" s="67">
        <f t="shared" si="34"/>
        <v>0</v>
      </c>
      <c r="P129" s="64">
        <f t="shared" si="35"/>
        <v>183.45000000000002</v>
      </c>
      <c r="Q129" s="64">
        <f t="shared" si="25"/>
        <v>80.85</v>
      </c>
      <c r="R129" s="64">
        <f>IF(ISTEXT($I$40),"",SUM(P$53:P129))</f>
        <v>10481.170000000002</v>
      </c>
      <c r="S129" s="64">
        <f>IF(ISTEXT($I$40),"",SUM(Q$53:Q129))</f>
        <v>9869.929999999998</v>
      </c>
      <c r="T129" s="64">
        <f t="shared" si="26"/>
        <v>9518.829999999993</v>
      </c>
      <c r="V129" s="68">
        <f t="shared" si="40"/>
        <v>3850</v>
      </c>
      <c r="W129" s="55"/>
      <c r="X129" s="55"/>
      <c r="Y129" s="55"/>
      <c r="AC129" s="62">
        <f>VLOOKUP(Y$348,W$344:X$355,1)</f>
        <v>5</v>
      </c>
      <c r="AD129" s="69">
        <f t="shared" si="36"/>
        <v>40299</v>
      </c>
      <c r="AE129" s="69">
        <f t="shared" si="37"/>
        <v>40299</v>
      </c>
    </row>
    <row r="130" spans="2:31" ht="11.25" customHeight="1">
      <c r="B130" s="59">
        <f t="shared" si="27"/>
        <v>2010</v>
      </c>
      <c r="C130" s="57">
        <f>VLOOKUP(Y$349,W$344:$X$355,1)</f>
        <v>6</v>
      </c>
      <c r="D130" s="55">
        <f t="shared" si="28"/>
        <v>1</v>
      </c>
      <c r="E130" s="61">
        <f t="shared" si="41"/>
        <v>2010</v>
      </c>
      <c r="F130" s="62" t="str">
        <f>VLOOKUP(Y$349,W$344:X$355,2)</f>
        <v>Jun</v>
      </c>
      <c r="G130" s="63">
        <f t="shared" si="24"/>
        <v>1</v>
      </c>
      <c r="H130" s="63">
        <f t="shared" si="29"/>
        <v>0</v>
      </c>
      <c r="I130" s="64">
        <f t="shared" si="30"/>
        <v>9518.829999999993</v>
      </c>
      <c r="J130" s="64">
        <f t="shared" si="38"/>
        <v>264.3</v>
      </c>
      <c r="K130" s="73">
        <f t="shared" si="39"/>
        <v>50</v>
      </c>
      <c r="L130" s="64">
        <f t="shared" si="31"/>
        <v>314.3</v>
      </c>
      <c r="M130" s="66">
        <f t="shared" si="32"/>
        <v>314.3</v>
      </c>
      <c r="N130" s="66">
        <f t="shared" si="33"/>
        <v>50</v>
      </c>
      <c r="O130" s="67">
        <f t="shared" si="34"/>
        <v>0</v>
      </c>
      <c r="P130" s="64">
        <f t="shared" si="35"/>
        <v>184.98000000000002</v>
      </c>
      <c r="Q130" s="64">
        <f t="shared" si="25"/>
        <v>79.32</v>
      </c>
      <c r="R130" s="64">
        <f>IF(ISTEXT($I$40),"",SUM(P$53:P130))</f>
        <v>10666.150000000001</v>
      </c>
      <c r="S130" s="64">
        <f>IF(ISTEXT($I$40),"",SUM(Q$53:Q130))</f>
        <v>9949.249999999998</v>
      </c>
      <c r="T130" s="64">
        <f t="shared" si="26"/>
        <v>9333.849999999993</v>
      </c>
      <c r="V130" s="68">
        <f t="shared" si="40"/>
        <v>3900</v>
      </c>
      <c r="W130" s="55"/>
      <c r="X130" s="55"/>
      <c r="Y130" s="55"/>
      <c r="AC130" s="62">
        <f>VLOOKUP(Y$349,W$344:X$355,1)</f>
        <v>6</v>
      </c>
      <c r="AD130" s="69">
        <f t="shared" si="36"/>
        <v>40330</v>
      </c>
      <c r="AE130" s="69">
        <f t="shared" si="37"/>
        <v>40330</v>
      </c>
    </row>
    <row r="131" spans="2:31" ht="11.25" customHeight="1">
      <c r="B131" s="59">
        <f t="shared" si="27"/>
        <v>2010</v>
      </c>
      <c r="C131" s="57">
        <f>VLOOKUP(Y$350,W$344:$X$355,1)</f>
        <v>7</v>
      </c>
      <c r="D131" s="55">
        <f t="shared" si="28"/>
        <v>1</v>
      </c>
      <c r="E131" s="61">
        <f t="shared" si="41"/>
        <v>2010</v>
      </c>
      <c r="F131" s="62" t="str">
        <f>VLOOKUP(Y$350,W$344:X$355,2)</f>
        <v>Jul</v>
      </c>
      <c r="G131" s="63">
        <f t="shared" si="24"/>
        <v>1</v>
      </c>
      <c r="H131" s="63">
        <f t="shared" si="29"/>
        <v>0</v>
      </c>
      <c r="I131" s="64">
        <f t="shared" si="30"/>
        <v>9333.849999999993</v>
      </c>
      <c r="J131" s="64">
        <f t="shared" si="38"/>
        <v>264.3</v>
      </c>
      <c r="K131" s="73">
        <f t="shared" si="39"/>
        <v>50</v>
      </c>
      <c r="L131" s="64">
        <f t="shared" si="31"/>
        <v>314.3</v>
      </c>
      <c r="M131" s="66">
        <f t="shared" si="32"/>
        <v>314.3</v>
      </c>
      <c r="N131" s="66">
        <f t="shared" si="33"/>
        <v>50</v>
      </c>
      <c r="O131" s="67">
        <f t="shared" si="34"/>
        <v>0</v>
      </c>
      <c r="P131" s="64">
        <f t="shared" si="35"/>
        <v>186.52</v>
      </c>
      <c r="Q131" s="64">
        <f t="shared" si="25"/>
        <v>77.78</v>
      </c>
      <c r="R131" s="64">
        <f>IF(ISTEXT($I$40),"",SUM(P$53:P131))</f>
        <v>10852.670000000002</v>
      </c>
      <c r="S131" s="64">
        <f>IF(ISTEXT($I$40),"",SUM(Q$53:Q131))</f>
        <v>10027.029999999999</v>
      </c>
      <c r="T131" s="64">
        <f t="shared" si="26"/>
        <v>9147.329999999993</v>
      </c>
      <c r="V131" s="68">
        <f t="shared" si="40"/>
        <v>3950</v>
      </c>
      <c r="W131" s="55"/>
      <c r="X131" s="55"/>
      <c r="Y131" s="55"/>
      <c r="AC131" s="62">
        <f>VLOOKUP(Y$350,W$344:X$355,1)</f>
        <v>7</v>
      </c>
      <c r="AD131" s="69">
        <f t="shared" si="36"/>
        <v>40360</v>
      </c>
      <c r="AE131" s="69">
        <f t="shared" si="37"/>
        <v>40360</v>
      </c>
    </row>
    <row r="132" spans="2:31" ht="11.25" customHeight="1">
      <c r="B132" s="59">
        <f t="shared" si="27"/>
        <v>2010</v>
      </c>
      <c r="C132" s="57">
        <f>VLOOKUP(Y$351,W$344:$X$355,1)</f>
        <v>8</v>
      </c>
      <c r="D132" s="55">
        <f t="shared" si="28"/>
        <v>1</v>
      </c>
      <c r="E132" s="61">
        <f t="shared" si="41"/>
        <v>2010</v>
      </c>
      <c r="F132" s="62" t="str">
        <f>VLOOKUP(Y$351,W$344:X$355,2)</f>
        <v>Aug</v>
      </c>
      <c r="G132" s="63">
        <f t="shared" si="24"/>
        <v>1</v>
      </c>
      <c r="H132" s="63">
        <f t="shared" si="29"/>
        <v>0</v>
      </c>
      <c r="I132" s="64">
        <f t="shared" si="30"/>
        <v>9147.329999999993</v>
      </c>
      <c r="J132" s="64">
        <f t="shared" si="38"/>
        <v>264.3</v>
      </c>
      <c r="K132" s="73">
        <f t="shared" si="39"/>
        <v>50</v>
      </c>
      <c r="L132" s="64">
        <f t="shared" si="31"/>
        <v>314.3</v>
      </c>
      <c r="M132" s="66">
        <f t="shared" si="32"/>
        <v>314.3</v>
      </c>
      <c r="N132" s="66">
        <f t="shared" si="33"/>
        <v>50</v>
      </c>
      <c r="O132" s="67">
        <f t="shared" si="34"/>
        <v>0</v>
      </c>
      <c r="P132" s="64">
        <f t="shared" si="35"/>
        <v>188.07</v>
      </c>
      <c r="Q132" s="64">
        <f t="shared" si="25"/>
        <v>76.23</v>
      </c>
      <c r="R132" s="64">
        <f>IF(ISTEXT($I$40),"",SUM(P$53:P132))</f>
        <v>11040.740000000002</v>
      </c>
      <c r="S132" s="64">
        <f>IF(ISTEXT($I$40),"",SUM(Q$53:Q132))</f>
        <v>10103.259999999998</v>
      </c>
      <c r="T132" s="64">
        <f t="shared" si="26"/>
        <v>8959.259999999993</v>
      </c>
      <c r="V132" s="68">
        <f t="shared" si="40"/>
        <v>4000</v>
      </c>
      <c r="W132" s="55"/>
      <c r="X132" s="55"/>
      <c r="Y132" s="55"/>
      <c r="AC132" s="62">
        <f>VLOOKUP(Y$351,W$344:X$355,1)</f>
        <v>8</v>
      </c>
      <c r="AD132" s="69">
        <f t="shared" si="36"/>
        <v>40391</v>
      </c>
      <c r="AE132" s="69">
        <f t="shared" si="37"/>
        <v>40391</v>
      </c>
    </row>
    <row r="133" spans="2:31" ht="11.25" customHeight="1">
      <c r="B133" s="59">
        <f t="shared" si="27"/>
        <v>2010</v>
      </c>
      <c r="C133" s="57">
        <f>VLOOKUP(Y$352,W$344:$X$355,1)</f>
        <v>9</v>
      </c>
      <c r="D133" s="55">
        <f t="shared" si="28"/>
        <v>1</v>
      </c>
      <c r="E133" s="61">
        <f t="shared" si="41"/>
        <v>2010</v>
      </c>
      <c r="F133" s="62" t="str">
        <f>VLOOKUP(Y$352,W$344:X$355,2)</f>
        <v>Sep</v>
      </c>
      <c r="G133" s="63">
        <f t="shared" si="24"/>
        <v>1</v>
      </c>
      <c r="H133" s="63">
        <f t="shared" si="29"/>
        <v>0</v>
      </c>
      <c r="I133" s="64">
        <f t="shared" si="30"/>
        <v>8959.259999999993</v>
      </c>
      <c r="J133" s="64">
        <f t="shared" si="38"/>
        <v>264.3</v>
      </c>
      <c r="K133" s="73">
        <f t="shared" si="39"/>
        <v>50</v>
      </c>
      <c r="L133" s="64">
        <f t="shared" si="31"/>
        <v>314.3</v>
      </c>
      <c r="M133" s="66">
        <f t="shared" si="32"/>
        <v>314.3</v>
      </c>
      <c r="N133" s="66">
        <f t="shared" si="33"/>
        <v>50</v>
      </c>
      <c r="O133" s="67">
        <f t="shared" si="34"/>
        <v>0</v>
      </c>
      <c r="P133" s="64">
        <f t="shared" si="35"/>
        <v>189.64000000000001</v>
      </c>
      <c r="Q133" s="64">
        <f t="shared" si="25"/>
        <v>74.66</v>
      </c>
      <c r="R133" s="64">
        <f>IF(ISTEXT($I$40),"",SUM(P$53:P133))</f>
        <v>11230.380000000001</v>
      </c>
      <c r="S133" s="64">
        <f>IF(ISTEXT($I$40),"",SUM(Q$53:Q133))</f>
        <v>10177.919999999998</v>
      </c>
      <c r="T133" s="64">
        <f t="shared" si="26"/>
        <v>8769.619999999994</v>
      </c>
      <c r="V133" s="68">
        <f t="shared" si="40"/>
        <v>4050</v>
      </c>
      <c r="W133" s="55"/>
      <c r="X133" s="55"/>
      <c r="Y133" s="55"/>
      <c r="AC133" s="62">
        <f>VLOOKUP(Y$352,W$344:X$355,1)</f>
        <v>9</v>
      </c>
      <c r="AD133" s="69">
        <f t="shared" si="36"/>
        <v>40422</v>
      </c>
      <c r="AE133" s="69">
        <f t="shared" si="37"/>
        <v>40422</v>
      </c>
    </row>
    <row r="134" spans="2:31" ht="11.25" customHeight="1">
      <c r="B134" s="59">
        <f t="shared" si="27"/>
        <v>2010</v>
      </c>
      <c r="C134" s="57">
        <f>VLOOKUP(Y$353,W$344:$X$355,1)</f>
        <v>10</v>
      </c>
      <c r="D134" s="55">
        <f t="shared" si="28"/>
        <v>1</v>
      </c>
      <c r="E134" s="61">
        <f t="shared" si="41"/>
        <v>2010</v>
      </c>
      <c r="F134" s="62" t="str">
        <f>VLOOKUP(Y$353,W$344:X$355,2)</f>
        <v>Oct</v>
      </c>
      <c r="G134" s="63">
        <f t="shared" si="24"/>
        <v>1</v>
      </c>
      <c r="H134" s="63">
        <f t="shared" si="29"/>
        <v>0</v>
      </c>
      <c r="I134" s="64">
        <f t="shared" si="30"/>
        <v>8769.619999999994</v>
      </c>
      <c r="J134" s="64">
        <f t="shared" si="38"/>
        <v>264.3</v>
      </c>
      <c r="K134" s="73">
        <f t="shared" si="39"/>
        <v>50</v>
      </c>
      <c r="L134" s="64">
        <f t="shared" si="31"/>
        <v>314.3</v>
      </c>
      <c r="M134" s="66">
        <f t="shared" si="32"/>
        <v>314.3</v>
      </c>
      <c r="N134" s="66">
        <f t="shared" si="33"/>
        <v>50</v>
      </c>
      <c r="O134" s="67">
        <f t="shared" si="34"/>
        <v>0</v>
      </c>
      <c r="P134" s="64">
        <f t="shared" si="35"/>
        <v>191.22000000000003</v>
      </c>
      <c r="Q134" s="64">
        <f t="shared" si="25"/>
        <v>73.08</v>
      </c>
      <c r="R134" s="64">
        <f>IF(ISTEXT($I$40),"",SUM(P$53:P134))</f>
        <v>11421.6</v>
      </c>
      <c r="S134" s="64">
        <f>IF(ISTEXT($I$40),"",SUM(Q$53:Q134))</f>
        <v>10250.999999999998</v>
      </c>
      <c r="T134" s="64">
        <f t="shared" si="26"/>
        <v>8578.399999999994</v>
      </c>
      <c r="V134" s="68">
        <f t="shared" si="40"/>
        <v>4100</v>
      </c>
      <c r="W134" s="55"/>
      <c r="X134" s="55"/>
      <c r="Y134" s="55"/>
      <c r="AC134" s="62">
        <f>VLOOKUP(Y$353,W$344:X$355,1)</f>
        <v>10</v>
      </c>
      <c r="AD134" s="69">
        <f t="shared" si="36"/>
        <v>40452</v>
      </c>
      <c r="AE134" s="69">
        <f t="shared" si="37"/>
        <v>40452</v>
      </c>
    </row>
    <row r="135" spans="2:31" ht="11.25" customHeight="1">
      <c r="B135" s="59">
        <f t="shared" si="27"/>
        <v>2010</v>
      </c>
      <c r="C135" s="57">
        <f>VLOOKUP(Y$354,W$344:$X$355,1)</f>
        <v>11</v>
      </c>
      <c r="D135" s="55">
        <f t="shared" si="28"/>
        <v>1</v>
      </c>
      <c r="E135" s="61">
        <f t="shared" si="41"/>
        <v>2010</v>
      </c>
      <c r="F135" s="62" t="str">
        <f>VLOOKUP(Y$354,W$344:X$355,2)</f>
        <v>Nov</v>
      </c>
      <c r="G135" s="63">
        <f t="shared" si="24"/>
        <v>1</v>
      </c>
      <c r="H135" s="63">
        <f t="shared" si="29"/>
        <v>0</v>
      </c>
      <c r="I135" s="64">
        <f t="shared" si="30"/>
        <v>8578.399999999994</v>
      </c>
      <c r="J135" s="64">
        <f t="shared" si="38"/>
        <v>264.3</v>
      </c>
      <c r="K135" s="73">
        <f t="shared" si="39"/>
        <v>50</v>
      </c>
      <c r="L135" s="64">
        <f t="shared" si="31"/>
        <v>314.3</v>
      </c>
      <c r="M135" s="66">
        <f t="shared" si="32"/>
        <v>314.3</v>
      </c>
      <c r="N135" s="66">
        <f t="shared" si="33"/>
        <v>50</v>
      </c>
      <c r="O135" s="67">
        <f t="shared" si="34"/>
        <v>0</v>
      </c>
      <c r="P135" s="64">
        <f t="shared" si="35"/>
        <v>192.81</v>
      </c>
      <c r="Q135" s="64">
        <f t="shared" si="25"/>
        <v>71.49</v>
      </c>
      <c r="R135" s="64">
        <f>IF(ISTEXT($I$40),"",SUM(P$53:P135))</f>
        <v>11614.41</v>
      </c>
      <c r="S135" s="64">
        <f>IF(ISTEXT($I$40),"",SUM(Q$53:Q135))</f>
        <v>10322.489999999998</v>
      </c>
      <c r="T135" s="64">
        <f t="shared" si="26"/>
        <v>8385.589999999995</v>
      </c>
      <c r="V135" s="68">
        <f t="shared" si="40"/>
        <v>4150</v>
      </c>
      <c r="W135" s="55"/>
      <c r="X135" s="55"/>
      <c r="Y135" s="55"/>
      <c r="AC135" s="62">
        <f>VLOOKUP(Y$354,W$344:X$355,1)</f>
        <v>11</v>
      </c>
      <c r="AD135" s="69">
        <f t="shared" si="36"/>
        <v>40483</v>
      </c>
      <c r="AE135" s="69">
        <f t="shared" si="37"/>
        <v>40483</v>
      </c>
    </row>
    <row r="136" spans="2:31" ht="11.25" customHeight="1">
      <c r="B136" s="59">
        <f t="shared" si="27"/>
        <v>2010</v>
      </c>
      <c r="C136" s="57">
        <f>VLOOKUP(Y$355,W$344:$X$355,1)</f>
        <v>12</v>
      </c>
      <c r="D136" s="55">
        <f t="shared" si="28"/>
        <v>1</v>
      </c>
      <c r="E136" s="61">
        <f t="shared" si="41"/>
        <v>2010</v>
      </c>
      <c r="F136" s="62" t="str">
        <f>VLOOKUP(Y$355,W$344:X$355,2)</f>
        <v>Dec</v>
      </c>
      <c r="G136" s="63">
        <f t="shared" si="24"/>
        <v>1</v>
      </c>
      <c r="H136" s="63">
        <f t="shared" si="29"/>
        <v>0</v>
      </c>
      <c r="I136" s="64">
        <f t="shared" si="30"/>
        <v>8385.589999999995</v>
      </c>
      <c r="J136" s="64">
        <f t="shared" si="38"/>
        <v>264.3</v>
      </c>
      <c r="K136" s="73">
        <f t="shared" si="39"/>
        <v>50</v>
      </c>
      <c r="L136" s="64">
        <f t="shared" si="31"/>
        <v>314.3</v>
      </c>
      <c r="M136" s="66">
        <f t="shared" si="32"/>
        <v>314.3</v>
      </c>
      <c r="N136" s="66">
        <f t="shared" si="33"/>
        <v>50</v>
      </c>
      <c r="O136" s="67">
        <f t="shared" si="34"/>
        <v>0</v>
      </c>
      <c r="P136" s="64">
        <f t="shared" si="35"/>
        <v>194.42000000000002</v>
      </c>
      <c r="Q136" s="64">
        <f t="shared" si="25"/>
        <v>69.88</v>
      </c>
      <c r="R136" s="64">
        <f>IF(ISTEXT($I$40),"",SUM(P$53:P136))</f>
        <v>11808.83</v>
      </c>
      <c r="S136" s="64">
        <f>IF(ISTEXT($I$40),"",SUM(Q$53:Q136))</f>
        <v>10392.369999999997</v>
      </c>
      <c r="T136" s="64">
        <f t="shared" si="26"/>
        <v>8191.169999999995</v>
      </c>
      <c r="V136" s="68">
        <f t="shared" si="40"/>
        <v>4200</v>
      </c>
      <c r="W136" s="55"/>
      <c r="X136" s="55"/>
      <c r="Y136" s="55"/>
      <c r="AC136" s="62">
        <f>VLOOKUP(Y$355,W$344:X$355,1)</f>
        <v>12</v>
      </c>
      <c r="AD136" s="69">
        <f t="shared" si="36"/>
        <v>40513</v>
      </c>
      <c r="AE136" s="69">
        <f t="shared" si="37"/>
        <v>40513</v>
      </c>
    </row>
    <row r="137" spans="2:31" ht="11.25" customHeight="1">
      <c r="B137" s="59">
        <f t="shared" si="27"/>
        <v>2011</v>
      </c>
      <c r="C137" s="57">
        <f>VLOOKUP(Y$344,W$344:$X$355,1)</f>
        <v>1</v>
      </c>
      <c r="D137" s="55">
        <f t="shared" si="28"/>
        <v>1</v>
      </c>
      <c r="E137" s="61">
        <f>IF(Y344=1,$T$43+7,E136)</f>
        <v>2011</v>
      </c>
      <c r="F137" s="62" t="str">
        <f>VLOOKUP(Y$344,W$344:X$355,2)</f>
        <v>Jan</v>
      </c>
      <c r="G137" s="63">
        <f t="shared" si="24"/>
        <v>1</v>
      </c>
      <c r="H137" s="63">
        <f t="shared" si="29"/>
        <v>0</v>
      </c>
      <c r="I137" s="64">
        <f t="shared" si="30"/>
        <v>8191.169999999995</v>
      </c>
      <c r="J137" s="64">
        <f t="shared" si="38"/>
        <v>264.3</v>
      </c>
      <c r="K137" s="73">
        <f t="shared" si="39"/>
        <v>50</v>
      </c>
      <c r="L137" s="64">
        <f t="shared" si="31"/>
        <v>314.3</v>
      </c>
      <c r="M137" s="66">
        <f t="shared" si="32"/>
        <v>314.3</v>
      </c>
      <c r="N137" s="66">
        <f t="shared" si="33"/>
        <v>50</v>
      </c>
      <c r="O137" s="67">
        <f t="shared" si="34"/>
        <v>0</v>
      </c>
      <c r="P137" s="64">
        <f t="shared" si="35"/>
        <v>196.04000000000002</v>
      </c>
      <c r="Q137" s="64">
        <f t="shared" si="25"/>
        <v>68.26</v>
      </c>
      <c r="R137" s="64">
        <f>IF(ISTEXT($I$40),"",SUM(P$53:P137))</f>
        <v>12004.87</v>
      </c>
      <c r="S137" s="64">
        <f>IF(ISTEXT($I$40),"",SUM(Q$53:Q137))</f>
        <v>10460.629999999997</v>
      </c>
      <c r="T137" s="64">
        <f t="shared" si="26"/>
        <v>7995.129999999995</v>
      </c>
      <c r="V137" s="68">
        <f t="shared" si="40"/>
        <v>4250</v>
      </c>
      <c r="W137" s="55"/>
      <c r="X137" s="55"/>
      <c r="Y137" s="55"/>
      <c r="AC137" s="62">
        <f>VLOOKUP(Y$344,W$344:X$355,1)</f>
        <v>1</v>
      </c>
      <c r="AD137" s="69">
        <f t="shared" si="36"/>
        <v>40544</v>
      </c>
      <c r="AE137" s="69">
        <f t="shared" si="37"/>
        <v>40544</v>
      </c>
    </row>
    <row r="138" spans="2:31" ht="11.25" customHeight="1">
      <c r="B138" s="59">
        <f t="shared" si="27"/>
        <v>2011</v>
      </c>
      <c r="C138" s="57">
        <f>VLOOKUP(Y$345,W$344:$X$355,1)</f>
        <v>2</v>
      </c>
      <c r="D138" s="55">
        <f t="shared" si="28"/>
        <v>1</v>
      </c>
      <c r="E138" s="61">
        <f aca="true" t="shared" si="42" ref="E138:E148">IF(Y345=1,$T$43+8,E137)</f>
        <v>2011</v>
      </c>
      <c r="F138" s="62" t="str">
        <f>VLOOKUP(Y$345,W$344:X$355,2)</f>
        <v>Feb</v>
      </c>
      <c r="G138" s="63">
        <f t="shared" si="24"/>
        <v>1</v>
      </c>
      <c r="H138" s="63">
        <f t="shared" si="29"/>
        <v>0</v>
      </c>
      <c r="I138" s="64">
        <f t="shared" si="30"/>
        <v>7995.129999999995</v>
      </c>
      <c r="J138" s="64">
        <f t="shared" si="38"/>
        <v>264.3</v>
      </c>
      <c r="K138" s="73">
        <f t="shared" si="39"/>
        <v>50</v>
      </c>
      <c r="L138" s="64">
        <f t="shared" si="31"/>
        <v>314.3</v>
      </c>
      <c r="M138" s="66">
        <f t="shared" si="32"/>
        <v>314.3</v>
      </c>
      <c r="N138" s="66">
        <f t="shared" si="33"/>
        <v>50</v>
      </c>
      <c r="O138" s="67">
        <f t="shared" si="34"/>
        <v>0</v>
      </c>
      <c r="P138" s="64">
        <f t="shared" si="35"/>
        <v>197.67000000000002</v>
      </c>
      <c r="Q138" s="64">
        <f t="shared" si="25"/>
        <v>66.63</v>
      </c>
      <c r="R138" s="64">
        <f>IF(ISTEXT($I$40),"",SUM(P$53:P138))</f>
        <v>12202.54</v>
      </c>
      <c r="S138" s="64">
        <f>IF(ISTEXT($I$40),"",SUM(Q$53:Q138))</f>
        <v>10527.259999999997</v>
      </c>
      <c r="T138" s="64">
        <f t="shared" si="26"/>
        <v>7797.459999999995</v>
      </c>
      <c r="V138" s="68">
        <f t="shared" si="40"/>
        <v>4300</v>
      </c>
      <c r="W138" s="55"/>
      <c r="X138" s="55"/>
      <c r="Y138" s="55"/>
      <c r="AC138" s="62">
        <f>VLOOKUP(Y$345,W$344:X$355,1)</f>
        <v>2</v>
      </c>
      <c r="AD138" s="69">
        <f t="shared" si="36"/>
        <v>40575</v>
      </c>
      <c r="AE138" s="69">
        <f t="shared" si="37"/>
        <v>40575</v>
      </c>
    </row>
    <row r="139" spans="2:31" ht="11.25" customHeight="1">
      <c r="B139" s="59">
        <f t="shared" si="27"/>
        <v>2011</v>
      </c>
      <c r="C139" s="57">
        <f>VLOOKUP(Y$346,W$344:$X$355,1)</f>
        <v>3</v>
      </c>
      <c r="D139" s="55">
        <f t="shared" si="28"/>
        <v>1</v>
      </c>
      <c r="E139" s="61">
        <f t="shared" si="42"/>
        <v>2011</v>
      </c>
      <c r="F139" s="62" t="str">
        <f>VLOOKUP(Y$346,W$344:X$355,2)</f>
        <v>Mar</v>
      </c>
      <c r="G139" s="63">
        <f t="shared" si="24"/>
        <v>1</v>
      </c>
      <c r="H139" s="63">
        <f t="shared" si="29"/>
        <v>0</v>
      </c>
      <c r="I139" s="64">
        <f t="shared" si="30"/>
        <v>7797.459999999995</v>
      </c>
      <c r="J139" s="64">
        <f t="shared" si="38"/>
        <v>264.3</v>
      </c>
      <c r="K139" s="73">
        <f t="shared" si="39"/>
        <v>50</v>
      </c>
      <c r="L139" s="64">
        <f t="shared" si="31"/>
        <v>314.3</v>
      </c>
      <c r="M139" s="66">
        <f t="shared" si="32"/>
        <v>314.3</v>
      </c>
      <c r="N139" s="66">
        <f t="shared" si="33"/>
        <v>50</v>
      </c>
      <c r="O139" s="67">
        <f t="shared" si="34"/>
        <v>0</v>
      </c>
      <c r="P139" s="64">
        <f t="shared" si="35"/>
        <v>199.32</v>
      </c>
      <c r="Q139" s="64">
        <f t="shared" si="25"/>
        <v>64.98</v>
      </c>
      <c r="R139" s="64">
        <f>IF(ISTEXT($I$40),"",SUM(P$53:P139))</f>
        <v>12401.86</v>
      </c>
      <c r="S139" s="64">
        <f>IF(ISTEXT($I$40),"",SUM(Q$53:Q139))</f>
        <v>10592.239999999996</v>
      </c>
      <c r="T139" s="64">
        <f t="shared" si="26"/>
        <v>7598.139999999995</v>
      </c>
      <c r="V139" s="68">
        <f t="shared" si="40"/>
        <v>4350</v>
      </c>
      <c r="W139" s="55"/>
      <c r="X139" s="55"/>
      <c r="Y139" s="55"/>
      <c r="AC139" s="62">
        <f>VLOOKUP(Y$346,W$344:X$355,1)</f>
        <v>3</v>
      </c>
      <c r="AD139" s="69">
        <f t="shared" si="36"/>
        <v>40603</v>
      </c>
      <c r="AE139" s="69">
        <f t="shared" si="37"/>
        <v>40603</v>
      </c>
    </row>
    <row r="140" spans="2:31" ht="11.25" customHeight="1">
      <c r="B140" s="59">
        <f t="shared" si="27"/>
        <v>2011</v>
      </c>
      <c r="C140" s="57">
        <f>VLOOKUP(Y$347,W$344:$X$355,1)</f>
        <v>4</v>
      </c>
      <c r="D140" s="55">
        <f t="shared" si="28"/>
        <v>1</v>
      </c>
      <c r="E140" s="61">
        <f t="shared" si="42"/>
        <v>2011</v>
      </c>
      <c r="F140" s="62" t="str">
        <f>VLOOKUP(Y$347,W$344:X$355,2)</f>
        <v>Apr</v>
      </c>
      <c r="G140" s="63">
        <f t="shared" si="24"/>
        <v>1</v>
      </c>
      <c r="H140" s="63">
        <f t="shared" si="29"/>
        <v>0</v>
      </c>
      <c r="I140" s="64">
        <f t="shared" si="30"/>
        <v>7598.139999999995</v>
      </c>
      <c r="J140" s="64">
        <f t="shared" si="38"/>
        <v>264.3</v>
      </c>
      <c r="K140" s="73">
        <f t="shared" si="39"/>
        <v>50</v>
      </c>
      <c r="L140" s="64">
        <f t="shared" si="31"/>
        <v>314.3</v>
      </c>
      <c r="M140" s="66">
        <f t="shared" si="32"/>
        <v>314.3</v>
      </c>
      <c r="N140" s="66">
        <f t="shared" si="33"/>
        <v>50</v>
      </c>
      <c r="O140" s="67">
        <f t="shared" si="34"/>
        <v>0</v>
      </c>
      <c r="P140" s="64">
        <f t="shared" si="35"/>
        <v>200.98000000000002</v>
      </c>
      <c r="Q140" s="64">
        <f t="shared" si="25"/>
        <v>63.32</v>
      </c>
      <c r="R140" s="64">
        <f>IF(ISTEXT($I$40),"",SUM(P$53:P140))</f>
        <v>12602.84</v>
      </c>
      <c r="S140" s="64">
        <f>IF(ISTEXT($I$40),"",SUM(Q$53:Q140))</f>
        <v>10655.559999999996</v>
      </c>
      <c r="T140" s="64">
        <f t="shared" si="26"/>
        <v>7397.159999999994</v>
      </c>
      <c r="V140" s="68">
        <f t="shared" si="40"/>
        <v>4400</v>
      </c>
      <c r="W140" s="55"/>
      <c r="X140" s="55"/>
      <c r="Y140" s="55"/>
      <c r="AC140" s="62">
        <f>VLOOKUP(Y$347,W$344:X$355,1)</f>
        <v>4</v>
      </c>
      <c r="AD140" s="69">
        <f t="shared" si="36"/>
        <v>40634</v>
      </c>
      <c r="AE140" s="69">
        <f t="shared" si="37"/>
        <v>40634</v>
      </c>
    </row>
    <row r="141" spans="2:31" ht="11.25" customHeight="1">
      <c r="B141" s="59">
        <f t="shared" si="27"/>
        <v>2011</v>
      </c>
      <c r="C141" s="57">
        <f>VLOOKUP(Y$348,W$344:$X$355,1)</f>
        <v>5</v>
      </c>
      <c r="D141" s="55">
        <f t="shared" si="28"/>
        <v>1</v>
      </c>
      <c r="E141" s="61">
        <f t="shared" si="42"/>
        <v>2011</v>
      </c>
      <c r="F141" s="62" t="str">
        <f>VLOOKUP(Y$348,W$344:X$355,2)</f>
        <v>May</v>
      </c>
      <c r="G141" s="63">
        <f t="shared" si="24"/>
        <v>1</v>
      </c>
      <c r="H141" s="63">
        <f t="shared" si="29"/>
        <v>0</v>
      </c>
      <c r="I141" s="64">
        <f t="shared" si="30"/>
        <v>7397.159999999994</v>
      </c>
      <c r="J141" s="64">
        <f t="shared" si="38"/>
        <v>264.3</v>
      </c>
      <c r="K141" s="73">
        <f t="shared" si="39"/>
        <v>50</v>
      </c>
      <c r="L141" s="64">
        <f t="shared" si="31"/>
        <v>314.3</v>
      </c>
      <c r="M141" s="66">
        <f t="shared" si="32"/>
        <v>314.3</v>
      </c>
      <c r="N141" s="66">
        <f t="shared" si="33"/>
        <v>50</v>
      </c>
      <c r="O141" s="67">
        <f t="shared" si="34"/>
        <v>0</v>
      </c>
      <c r="P141" s="64">
        <f t="shared" si="35"/>
        <v>202.66000000000003</v>
      </c>
      <c r="Q141" s="64">
        <f t="shared" si="25"/>
        <v>61.64</v>
      </c>
      <c r="R141" s="64">
        <f>IF(ISTEXT($I$40),"",SUM(P$53:P141))</f>
        <v>12805.5</v>
      </c>
      <c r="S141" s="64">
        <f>IF(ISTEXT($I$40),"",SUM(Q$53:Q141))</f>
        <v>10717.199999999995</v>
      </c>
      <c r="T141" s="64">
        <f t="shared" si="26"/>
        <v>7194.4999999999945</v>
      </c>
      <c r="V141" s="68">
        <f t="shared" si="40"/>
        <v>4450</v>
      </c>
      <c r="W141" s="55"/>
      <c r="X141" s="55"/>
      <c r="Y141" s="55"/>
      <c r="AC141" s="62">
        <f>VLOOKUP(Y$348,W$344:X$355,1)</f>
        <v>5</v>
      </c>
      <c r="AD141" s="69">
        <f t="shared" si="36"/>
        <v>40664</v>
      </c>
      <c r="AE141" s="69">
        <f t="shared" si="37"/>
        <v>40664</v>
      </c>
    </row>
    <row r="142" spans="2:31" ht="11.25" customHeight="1">
      <c r="B142" s="59">
        <f t="shared" si="27"/>
        <v>2011</v>
      </c>
      <c r="C142" s="57">
        <f>VLOOKUP(Y$349,W$344:$X$355,1)</f>
        <v>6</v>
      </c>
      <c r="D142" s="55">
        <f t="shared" si="28"/>
        <v>1</v>
      </c>
      <c r="E142" s="61">
        <f t="shared" si="42"/>
        <v>2011</v>
      </c>
      <c r="F142" s="62" t="str">
        <f>VLOOKUP(Y$349,W$344:X$355,2)</f>
        <v>Jun</v>
      </c>
      <c r="G142" s="63">
        <f t="shared" si="24"/>
        <v>1</v>
      </c>
      <c r="H142" s="63">
        <f t="shared" si="29"/>
        <v>0</v>
      </c>
      <c r="I142" s="64">
        <f t="shared" si="30"/>
        <v>7194.4999999999945</v>
      </c>
      <c r="J142" s="64">
        <f t="shared" si="38"/>
        <v>264.3</v>
      </c>
      <c r="K142" s="73">
        <f t="shared" si="39"/>
        <v>50</v>
      </c>
      <c r="L142" s="64">
        <f t="shared" si="31"/>
        <v>314.3</v>
      </c>
      <c r="M142" s="66">
        <f t="shared" si="32"/>
        <v>314.3</v>
      </c>
      <c r="N142" s="66">
        <f t="shared" si="33"/>
        <v>50</v>
      </c>
      <c r="O142" s="67">
        <f t="shared" si="34"/>
        <v>0</v>
      </c>
      <c r="P142" s="64">
        <f t="shared" si="35"/>
        <v>204.35000000000002</v>
      </c>
      <c r="Q142" s="64">
        <f t="shared" si="25"/>
        <v>59.95</v>
      </c>
      <c r="R142" s="64">
        <f>IF(ISTEXT($I$40),"",SUM(P$53:P142))</f>
        <v>13009.85</v>
      </c>
      <c r="S142" s="64">
        <f>IF(ISTEXT($I$40),"",SUM(Q$53:Q142))</f>
        <v>10777.149999999996</v>
      </c>
      <c r="T142" s="64">
        <f t="shared" si="26"/>
        <v>6990.149999999994</v>
      </c>
      <c r="V142" s="68">
        <f t="shared" si="40"/>
        <v>4500</v>
      </c>
      <c r="W142" s="55"/>
      <c r="X142" s="55"/>
      <c r="Y142" s="55"/>
      <c r="AC142" s="62">
        <f>VLOOKUP(Y$349,W$344:X$355,1)</f>
        <v>6</v>
      </c>
      <c r="AD142" s="69">
        <f t="shared" si="36"/>
        <v>40695</v>
      </c>
      <c r="AE142" s="69">
        <f t="shared" si="37"/>
        <v>40695</v>
      </c>
    </row>
    <row r="143" spans="2:31" ht="11.25" customHeight="1">
      <c r="B143" s="59">
        <f t="shared" si="27"/>
        <v>2011</v>
      </c>
      <c r="C143" s="57">
        <f>VLOOKUP(Y$350,W$344:$X$355,1)</f>
        <v>7</v>
      </c>
      <c r="D143" s="55">
        <f t="shared" si="28"/>
        <v>1</v>
      </c>
      <c r="E143" s="61">
        <f t="shared" si="42"/>
        <v>2011</v>
      </c>
      <c r="F143" s="62" t="str">
        <f>VLOOKUP(Y$350,W$344:X$355,2)</f>
        <v>Jul</v>
      </c>
      <c r="G143" s="63">
        <f t="shared" si="24"/>
        <v>1</v>
      </c>
      <c r="H143" s="63">
        <f t="shared" si="29"/>
        <v>0</v>
      </c>
      <c r="I143" s="64">
        <f t="shared" si="30"/>
        <v>6990.149999999994</v>
      </c>
      <c r="J143" s="64">
        <f t="shared" si="38"/>
        <v>264.3</v>
      </c>
      <c r="K143" s="73">
        <f t="shared" si="39"/>
        <v>50</v>
      </c>
      <c r="L143" s="64">
        <f t="shared" si="31"/>
        <v>314.3</v>
      </c>
      <c r="M143" s="66">
        <f t="shared" si="32"/>
        <v>314.3</v>
      </c>
      <c r="N143" s="66">
        <f t="shared" si="33"/>
        <v>50</v>
      </c>
      <c r="O143" s="67">
        <f t="shared" si="34"/>
        <v>0</v>
      </c>
      <c r="P143" s="64">
        <f t="shared" si="35"/>
        <v>206.05</v>
      </c>
      <c r="Q143" s="64">
        <f t="shared" si="25"/>
        <v>58.25</v>
      </c>
      <c r="R143" s="64">
        <f>IF(ISTEXT($I$40),"",SUM(P$53:P143))</f>
        <v>13215.9</v>
      </c>
      <c r="S143" s="64">
        <f>IF(ISTEXT($I$40),"",SUM(Q$53:Q143))</f>
        <v>10835.399999999996</v>
      </c>
      <c r="T143" s="64">
        <f t="shared" si="26"/>
        <v>6784.099999999994</v>
      </c>
      <c r="V143" s="68">
        <f t="shared" si="40"/>
        <v>4550</v>
      </c>
      <c r="W143" s="55"/>
      <c r="X143" s="55"/>
      <c r="Y143" s="55"/>
      <c r="AC143" s="62">
        <f>VLOOKUP(Y$350,W$344:X$355,1)</f>
        <v>7</v>
      </c>
      <c r="AD143" s="69">
        <f t="shared" si="36"/>
        <v>40725</v>
      </c>
      <c r="AE143" s="69">
        <f t="shared" si="37"/>
        <v>40725</v>
      </c>
    </row>
    <row r="144" spans="2:31" ht="11.25" customHeight="1">
      <c r="B144" s="59">
        <f t="shared" si="27"/>
        <v>2011</v>
      </c>
      <c r="C144" s="57">
        <f>VLOOKUP(Y$351,W$344:$X$355,1)</f>
        <v>8</v>
      </c>
      <c r="D144" s="55">
        <f t="shared" si="28"/>
        <v>1</v>
      </c>
      <c r="E144" s="61">
        <f t="shared" si="42"/>
        <v>2011</v>
      </c>
      <c r="F144" s="62" t="str">
        <f>VLOOKUP(Y$351,W$344:X$355,2)</f>
        <v>Aug</v>
      </c>
      <c r="G144" s="63">
        <f t="shared" si="24"/>
        <v>1</v>
      </c>
      <c r="H144" s="63">
        <f t="shared" si="29"/>
        <v>0</v>
      </c>
      <c r="I144" s="64">
        <f t="shared" si="30"/>
        <v>6784.099999999994</v>
      </c>
      <c r="J144" s="64">
        <f t="shared" si="38"/>
        <v>264.3</v>
      </c>
      <c r="K144" s="73">
        <f t="shared" si="39"/>
        <v>50</v>
      </c>
      <c r="L144" s="64">
        <f t="shared" si="31"/>
        <v>314.3</v>
      </c>
      <c r="M144" s="66">
        <f t="shared" si="32"/>
        <v>314.3</v>
      </c>
      <c r="N144" s="66">
        <f t="shared" si="33"/>
        <v>50</v>
      </c>
      <c r="O144" s="67">
        <f t="shared" si="34"/>
        <v>0</v>
      </c>
      <c r="P144" s="64">
        <f t="shared" si="35"/>
        <v>207.76999999999998</v>
      </c>
      <c r="Q144" s="64">
        <f t="shared" si="25"/>
        <v>56.53</v>
      </c>
      <c r="R144" s="64">
        <f>IF(ISTEXT($I$40),"",SUM(P$53:P144))</f>
        <v>13423.67</v>
      </c>
      <c r="S144" s="64">
        <f>IF(ISTEXT($I$40),"",SUM(Q$53:Q144))</f>
        <v>10891.929999999997</v>
      </c>
      <c r="T144" s="64">
        <f t="shared" si="26"/>
        <v>6576.3299999999945</v>
      </c>
      <c r="V144" s="68">
        <f t="shared" si="40"/>
        <v>4600</v>
      </c>
      <c r="W144" s="55"/>
      <c r="X144" s="55"/>
      <c r="Y144" s="55"/>
      <c r="AC144" s="62">
        <f>VLOOKUP(Y$351,W$344:X$355,1)</f>
        <v>8</v>
      </c>
      <c r="AD144" s="69">
        <f t="shared" si="36"/>
        <v>40756</v>
      </c>
      <c r="AE144" s="69">
        <f t="shared" si="37"/>
        <v>40756</v>
      </c>
    </row>
    <row r="145" spans="2:31" ht="11.25" customHeight="1">
      <c r="B145" s="59">
        <f t="shared" si="27"/>
        <v>2011</v>
      </c>
      <c r="C145" s="57">
        <f>VLOOKUP(Y$352,W$344:$X$355,1)</f>
        <v>9</v>
      </c>
      <c r="D145" s="55">
        <f t="shared" si="28"/>
        <v>1</v>
      </c>
      <c r="E145" s="61">
        <f t="shared" si="42"/>
        <v>2011</v>
      </c>
      <c r="F145" s="62" t="str">
        <f>VLOOKUP(Y$352,W$344:X$355,2)</f>
        <v>Sep</v>
      </c>
      <c r="G145" s="63">
        <f t="shared" si="24"/>
        <v>1</v>
      </c>
      <c r="H145" s="63">
        <f t="shared" si="29"/>
        <v>0</v>
      </c>
      <c r="I145" s="64">
        <f t="shared" si="30"/>
        <v>6576.3299999999945</v>
      </c>
      <c r="J145" s="64">
        <f t="shared" si="38"/>
        <v>264.3</v>
      </c>
      <c r="K145" s="73">
        <f t="shared" si="39"/>
        <v>50</v>
      </c>
      <c r="L145" s="64">
        <f t="shared" si="31"/>
        <v>314.3</v>
      </c>
      <c r="M145" s="66">
        <f t="shared" si="32"/>
        <v>314.3</v>
      </c>
      <c r="N145" s="66">
        <f t="shared" si="33"/>
        <v>50</v>
      </c>
      <c r="O145" s="67">
        <f t="shared" si="34"/>
        <v>0</v>
      </c>
      <c r="P145" s="64">
        <f t="shared" si="35"/>
        <v>209.5</v>
      </c>
      <c r="Q145" s="64">
        <f t="shared" si="25"/>
        <v>54.8</v>
      </c>
      <c r="R145" s="64">
        <f>IF(ISTEXT($I$40),"",SUM(P$53:P145))</f>
        <v>13633.17</v>
      </c>
      <c r="S145" s="64">
        <f>IF(ISTEXT($I$40),"",SUM(Q$53:Q145))</f>
        <v>10946.729999999996</v>
      </c>
      <c r="T145" s="64">
        <f t="shared" si="26"/>
        <v>6366.8299999999945</v>
      </c>
      <c r="V145" s="68">
        <f t="shared" si="40"/>
        <v>4650</v>
      </c>
      <c r="W145" s="55"/>
      <c r="X145" s="55"/>
      <c r="Y145" s="55"/>
      <c r="AC145" s="62">
        <f>VLOOKUP(Y$352,W$344:X$355,1)</f>
        <v>9</v>
      </c>
      <c r="AD145" s="69">
        <f t="shared" si="36"/>
        <v>40787</v>
      </c>
      <c r="AE145" s="69">
        <f t="shared" si="37"/>
        <v>40787</v>
      </c>
    </row>
    <row r="146" spans="2:31" ht="11.25" customHeight="1">
      <c r="B146" s="59">
        <f t="shared" si="27"/>
        <v>2011</v>
      </c>
      <c r="C146" s="57">
        <f>VLOOKUP(Y$353,W$344:$X$355,1)</f>
        <v>10</v>
      </c>
      <c r="D146" s="55">
        <f t="shared" si="28"/>
        <v>1</v>
      </c>
      <c r="E146" s="61">
        <f t="shared" si="42"/>
        <v>2011</v>
      </c>
      <c r="F146" s="62" t="str">
        <f>VLOOKUP(Y$353,W$344:X$355,2)</f>
        <v>Oct</v>
      </c>
      <c r="G146" s="63">
        <f t="shared" si="24"/>
        <v>1</v>
      </c>
      <c r="H146" s="63">
        <f t="shared" si="29"/>
        <v>0</v>
      </c>
      <c r="I146" s="64">
        <f t="shared" si="30"/>
        <v>6366.8299999999945</v>
      </c>
      <c r="J146" s="64">
        <f t="shared" si="38"/>
        <v>264.3</v>
      </c>
      <c r="K146" s="73">
        <f t="shared" si="39"/>
        <v>50</v>
      </c>
      <c r="L146" s="64">
        <f t="shared" si="31"/>
        <v>314.3</v>
      </c>
      <c r="M146" s="66">
        <f t="shared" si="32"/>
        <v>314.3</v>
      </c>
      <c r="N146" s="66">
        <f t="shared" si="33"/>
        <v>50</v>
      </c>
      <c r="O146" s="67">
        <f t="shared" si="34"/>
        <v>0</v>
      </c>
      <c r="P146" s="64">
        <f t="shared" si="35"/>
        <v>211.24</v>
      </c>
      <c r="Q146" s="64">
        <f t="shared" si="25"/>
        <v>53.06</v>
      </c>
      <c r="R146" s="64">
        <f>IF(ISTEXT($I$40),"",SUM(P$53:P146))</f>
        <v>13844.41</v>
      </c>
      <c r="S146" s="64">
        <f>IF(ISTEXT($I$40),"",SUM(Q$53:Q146))</f>
        <v>10999.789999999995</v>
      </c>
      <c r="T146" s="64">
        <f t="shared" si="26"/>
        <v>6155.589999999995</v>
      </c>
      <c r="V146" s="68">
        <f t="shared" si="40"/>
        <v>4700</v>
      </c>
      <c r="W146" s="55"/>
      <c r="X146" s="55"/>
      <c r="Y146" s="55"/>
      <c r="AC146" s="62">
        <f>VLOOKUP(Y$353,W$344:X$355,1)</f>
        <v>10</v>
      </c>
      <c r="AD146" s="69">
        <f t="shared" si="36"/>
        <v>40817</v>
      </c>
      <c r="AE146" s="69">
        <f t="shared" si="37"/>
        <v>40817</v>
      </c>
    </row>
    <row r="147" spans="2:31" ht="11.25" customHeight="1">
      <c r="B147" s="59">
        <f t="shared" si="27"/>
        <v>2011</v>
      </c>
      <c r="C147" s="57">
        <f>VLOOKUP(Y$354,W$344:$X$355,1)</f>
        <v>11</v>
      </c>
      <c r="D147" s="55">
        <f t="shared" si="28"/>
        <v>1</v>
      </c>
      <c r="E147" s="61">
        <f t="shared" si="42"/>
        <v>2011</v>
      </c>
      <c r="F147" s="62" t="str">
        <f>VLOOKUP(Y$354,W$344:X$355,2)</f>
        <v>Nov</v>
      </c>
      <c r="G147" s="63">
        <f t="shared" si="24"/>
        <v>1</v>
      </c>
      <c r="H147" s="63">
        <f t="shared" si="29"/>
        <v>0</v>
      </c>
      <c r="I147" s="64">
        <f t="shared" si="30"/>
        <v>6155.589999999995</v>
      </c>
      <c r="J147" s="64">
        <f t="shared" si="38"/>
        <v>264.3</v>
      </c>
      <c r="K147" s="73">
        <f t="shared" si="39"/>
        <v>50</v>
      </c>
      <c r="L147" s="64">
        <f t="shared" si="31"/>
        <v>314.3</v>
      </c>
      <c r="M147" s="66">
        <f t="shared" si="32"/>
        <v>314.3</v>
      </c>
      <c r="N147" s="66">
        <f t="shared" si="33"/>
        <v>50</v>
      </c>
      <c r="O147" s="67">
        <f t="shared" si="34"/>
        <v>0</v>
      </c>
      <c r="P147" s="64">
        <f t="shared" si="35"/>
        <v>213</v>
      </c>
      <c r="Q147" s="64">
        <f t="shared" si="25"/>
        <v>51.3</v>
      </c>
      <c r="R147" s="64">
        <f>IF(ISTEXT($I$40),"",SUM(P$53:P147))</f>
        <v>14057.41</v>
      </c>
      <c r="S147" s="64">
        <f>IF(ISTEXT($I$40),"",SUM(Q$53:Q147))</f>
        <v>11051.089999999995</v>
      </c>
      <c r="T147" s="64">
        <f t="shared" si="26"/>
        <v>5942.589999999995</v>
      </c>
      <c r="V147" s="68">
        <f t="shared" si="40"/>
        <v>4750</v>
      </c>
      <c r="W147" s="55"/>
      <c r="X147" s="55"/>
      <c r="Y147" s="55"/>
      <c r="AC147" s="62">
        <f>VLOOKUP(Y$354,W$344:X$355,1)</f>
        <v>11</v>
      </c>
      <c r="AD147" s="69">
        <f t="shared" si="36"/>
        <v>40848</v>
      </c>
      <c r="AE147" s="69">
        <f t="shared" si="37"/>
        <v>40848</v>
      </c>
    </row>
    <row r="148" spans="2:31" ht="11.25" customHeight="1">
      <c r="B148" s="59">
        <f t="shared" si="27"/>
        <v>2011</v>
      </c>
      <c r="C148" s="57">
        <f>VLOOKUP(Y$355,W$344:$X$355,1)</f>
        <v>12</v>
      </c>
      <c r="D148" s="55">
        <f t="shared" si="28"/>
        <v>1</v>
      </c>
      <c r="E148" s="61">
        <f t="shared" si="42"/>
        <v>2011</v>
      </c>
      <c r="F148" s="62" t="str">
        <f>VLOOKUP(Y$355,W$344:X$355,2)</f>
        <v>Dec</v>
      </c>
      <c r="G148" s="63">
        <f t="shared" si="24"/>
        <v>1</v>
      </c>
      <c r="H148" s="63">
        <f t="shared" si="29"/>
        <v>0</v>
      </c>
      <c r="I148" s="64">
        <f t="shared" si="30"/>
        <v>5942.589999999995</v>
      </c>
      <c r="J148" s="64">
        <f t="shared" si="38"/>
        <v>264.3</v>
      </c>
      <c r="K148" s="73">
        <f t="shared" si="39"/>
        <v>50</v>
      </c>
      <c r="L148" s="64">
        <f t="shared" si="31"/>
        <v>314.3</v>
      </c>
      <c r="M148" s="66">
        <f t="shared" si="32"/>
        <v>314.3</v>
      </c>
      <c r="N148" s="66">
        <f t="shared" si="33"/>
        <v>50</v>
      </c>
      <c r="O148" s="67">
        <f t="shared" si="34"/>
        <v>0</v>
      </c>
      <c r="P148" s="64">
        <f t="shared" si="35"/>
        <v>214.78000000000003</v>
      </c>
      <c r="Q148" s="64">
        <f t="shared" si="25"/>
        <v>49.52</v>
      </c>
      <c r="R148" s="64">
        <f>IF(ISTEXT($I$40),"",SUM(P$53:P148))</f>
        <v>14272.19</v>
      </c>
      <c r="S148" s="64">
        <f>IF(ISTEXT($I$40),"",SUM(Q$53:Q148))</f>
        <v>11100.609999999995</v>
      </c>
      <c r="T148" s="64">
        <f t="shared" si="26"/>
        <v>5727.809999999995</v>
      </c>
      <c r="V148" s="68">
        <f t="shared" si="40"/>
        <v>4800</v>
      </c>
      <c r="W148" s="55"/>
      <c r="X148" s="55"/>
      <c r="Y148" s="55"/>
      <c r="AC148" s="62">
        <f>VLOOKUP(Y$355,W$344:X$355,1)</f>
        <v>12</v>
      </c>
      <c r="AD148" s="69">
        <f t="shared" si="36"/>
        <v>40878</v>
      </c>
      <c r="AE148" s="69">
        <f t="shared" si="37"/>
        <v>40878</v>
      </c>
    </row>
    <row r="149" spans="2:31" ht="11.25" customHeight="1">
      <c r="B149" s="59">
        <f t="shared" si="27"/>
        <v>2012</v>
      </c>
      <c r="C149" s="57">
        <f>VLOOKUP(Y$344,W$344:$X$355,1)</f>
        <v>1</v>
      </c>
      <c r="D149" s="55">
        <f t="shared" si="28"/>
        <v>1</v>
      </c>
      <c r="E149" s="61">
        <f>IF(Y344=1,$T$43+8,E148)</f>
        <v>2012</v>
      </c>
      <c r="F149" s="62" t="str">
        <f>VLOOKUP(Y$344,W$344:X$355,2)</f>
        <v>Jan</v>
      </c>
      <c r="G149" s="63">
        <f aca="true" t="shared" si="43" ref="G149:G172">$T$45</f>
        <v>1</v>
      </c>
      <c r="H149" s="63">
        <f t="shared" si="29"/>
        <v>0</v>
      </c>
      <c r="I149" s="64">
        <f t="shared" si="30"/>
        <v>5727.809999999995</v>
      </c>
      <c r="J149" s="64">
        <f t="shared" si="38"/>
        <v>264.3</v>
      </c>
      <c r="K149" s="73">
        <f t="shared" si="39"/>
        <v>50</v>
      </c>
      <c r="L149" s="64">
        <f t="shared" si="31"/>
        <v>314.3</v>
      </c>
      <c r="M149" s="66">
        <f t="shared" si="32"/>
        <v>314.3</v>
      </c>
      <c r="N149" s="66">
        <f t="shared" si="33"/>
        <v>50</v>
      </c>
      <c r="O149" s="67">
        <f t="shared" si="34"/>
        <v>0</v>
      </c>
      <c r="P149" s="64">
        <f t="shared" si="35"/>
        <v>216.57</v>
      </c>
      <c r="Q149" s="64">
        <f aca="true" t="shared" si="44" ref="Q149:Q172">IF(ISTEXT(I$40),"",ROUND(I149*(T$41/12),2))</f>
        <v>47.73</v>
      </c>
      <c r="R149" s="64">
        <f>IF(ISTEXT($I$40),"",SUM(P$53:P149))</f>
        <v>14488.76</v>
      </c>
      <c r="S149" s="64">
        <f>IF(ISTEXT($I$40),"",SUM(Q$53:Q149))</f>
        <v>11148.339999999995</v>
      </c>
      <c r="T149" s="64">
        <f aca="true" t="shared" si="45" ref="T149:T172">IF(ISTEXT(I$40),"",I149-P149)</f>
        <v>5511.239999999995</v>
      </c>
      <c r="V149" s="68">
        <f t="shared" si="40"/>
        <v>4850</v>
      </c>
      <c r="W149" s="55"/>
      <c r="X149" s="55"/>
      <c r="Y149" s="55"/>
      <c r="AC149" s="62">
        <f>VLOOKUP(Y$344,W$344:X$355,1)</f>
        <v>1</v>
      </c>
      <c r="AD149" s="69">
        <f t="shared" si="36"/>
        <v>40909</v>
      </c>
      <c r="AE149" s="69">
        <f t="shared" si="37"/>
        <v>40909</v>
      </c>
    </row>
    <row r="150" spans="2:31" ht="11.25" customHeight="1">
      <c r="B150" s="59">
        <f t="shared" si="27"/>
        <v>2012</v>
      </c>
      <c r="C150" s="57">
        <f>VLOOKUP(Y$345,W$344:$X$355,1)</f>
        <v>2</v>
      </c>
      <c r="D150" s="55">
        <f t="shared" si="28"/>
        <v>1</v>
      </c>
      <c r="E150" s="61">
        <f aca="true" t="shared" si="46" ref="E150:E160">IF(Y345=1,$T$43+9,E149)</f>
        <v>2012</v>
      </c>
      <c r="F150" s="62" t="str">
        <f>VLOOKUP(Y$345,W$344:X$355,2)</f>
        <v>Feb</v>
      </c>
      <c r="G150" s="63">
        <f t="shared" si="43"/>
        <v>1</v>
      </c>
      <c r="H150" s="63">
        <f t="shared" si="29"/>
        <v>0</v>
      </c>
      <c r="I150" s="64">
        <f aca="true" t="shared" si="47" ref="I150:I172">IF(ISTEXT(I$40),"",T149)</f>
        <v>5511.239999999995</v>
      </c>
      <c r="J150" s="64">
        <f t="shared" si="38"/>
        <v>264.3</v>
      </c>
      <c r="K150" s="73">
        <f t="shared" si="39"/>
        <v>50</v>
      </c>
      <c r="L150" s="64">
        <f t="shared" si="31"/>
        <v>314.3</v>
      </c>
      <c r="M150" s="66">
        <f t="shared" si="32"/>
        <v>314.3</v>
      </c>
      <c r="N150" s="66">
        <f t="shared" si="33"/>
        <v>50</v>
      </c>
      <c r="O150" s="67">
        <f t="shared" si="34"/>
        <v>0</v>
      </c>
      <c r="P150" s="64">
        <f t="shared" si="35"/>
        <v>218.37</v>
      </c>
      <c r="Q150" s="64">
        <f t="shared" si="44"/>
        <v>45.93</v>
      </c>
      <c r="R150" s="64">
        <f>IF(ISTEXT($I$40),"",SUM(P$53:P150))</f>
        <v>14707.130000000001</v>
      </c>
      <c r="S150" s="64">
        <f>IF(ISTEXT($I$40),"",SUM(Q$53:Q150))</f>
        <v>11194.269999999995</v>
      </c>
      <c r="T150" s="64">
        <f t="shared" si="45"/>
        <v>5292.869999999995</v>
      </c>
      <c r="V150" s="68">
        <f t="shared" si="40"/>
        <v>4900</v>
      </c>
      <c r="W150" s="55"/>
      <c r="X150" s="55"/>
      <c r="Y150" s="55"/>
      <c r="AC150" s="62">
        <f>VLOOKUP(Y$345,W$344:X$355,1)</f>
        <v>2</v>
      </c>
      <c r="AD150" s="69">
        <f t="shared" si="36"/>
        <v>40940</v>
      </c>
      <c r="AE150" s="69">
        <f t="shared" si="37"/>
        <v>40940</v>
      </c>
    </row>
    <row r="151" spans="2:31" ht="11.25" customHeight="1">
      <c r="B151" s="59">
        <f t="shared" si="27"/>
        <v>2012</v>
      </c>
      <c r="C151" s="57">
        <f>VLOOKUP(Y$346,W$344:$X$355,1)</f>
        <v>3</v>
      </c>
      <c r="D151" s="55">
        <f t="shared" si="28"/>
        <v>1</v>
      </c>
      <c r="E151" s="61">
        <f t="shared" si="46"/>
        <v>2012</v>
      </c>
      <c r="F151" s="62" t="str">
        <f>VLOOKUP(Y$346,W$344:X$355,2)</f>
        <v>Mar</v>
      </c>
      <c r="G151" s="63">
        <f t="shared" si="43"/>
        <v>1</v>
      </c>
      <c r="H151" s="63">
        <f t="shared" si="29"/>
        <v>0</v>
      </c>
      <c r="I151" s="64">
        <f t="shared" si="47"/>
        <v>5292.869999999995</v>
      </c>
      <c r="J151" s="64">
        <f t="shared" si="38"/>
        <v>264.3</v>
      </c>
      <c r="K151" s="73">
        <f t="shared" si="39"/>
        <v>50</v>
      </c>
      <c r="L151" s="64">
        <f t="shared" si="31"/>
        <v>314.3</v>
      </c>
      <c r="M151" s="66">
        <f t="shared" si="32"/>
        <v>314.3</v>
      </c>
      <c r="N151" s="66">
        <f t="shared" si="33"/>
        <v>50</v>
      </c>
      <c r="O151" s="67">
        <f t="shared" si="34"/>
        <v>0</v>
      </c>
      <c r="P151" s="64">
        <f t="shared" si="35"/>
        <v>220.19</v>
      </c>
      <c r="Q151" s="64">
        <f t="shared" si="44"/>
        <v>44.11</v>
      </c>
      <c r="R151" s="64">
        <f>IF(ISTEXT($I$40),"",SUM(P$53:P151))</f>
        <v>14927.320000000002</v>
      </c>
      <c r="S151" s="64">
        <f>IF(ISTEXT($I$40),"",SUM(Q$53:Q151))</f>
        <v>11238.379999999996</v>
      </c>
      <c r="T151" s="64">
        <f t="shared" si="45"/>
        <v>5072.679999999996</v>
      </c>
      <c r="V151" s="68">
        <f t="shared" si="40"/>
        <v>4950</v>
      </c>
      <c r="W151" s="55"/>
      <c r="X151" s="55"/>
      <c r="Y151" s="55"/>
      <c r="AC151" s="62">
        <f>VLOOKUP(Y$346,W$344:X$355,1)</f>
        <v>3</v>
      </c>
      <c r="AD151" s="69">
        <f t="shared" si="36"/>
        <v>40969</v>
      </c>
      <c r="AE151" s="69">
        <f t="shared" si="37"/>
        <v>40969</v>
      </c>
    </row>
    <row r="152" spans="2:31" ht="11.25" customHeight="1">
      <c r="B152" s="59">
        <f t="shared" si="27"/>
        <v>2012</v>
      </c>
      <c r="C152" s="57">
        <f>VLOOKUP(Y$347,W$344:$X$355,1)</f>
        <v>4</v>
      </c>
      <c r="D152" s="55">
        <f t="shared" si="28"/>
        <v>1</v>
      </c>
      <c r="E152" s="61">
        <f t="shared" si="46"/>
        <v>2012</v>
      </c>
      <c r="F152" s="62" t="str">
        <f>VLOOKUP(Y$347,W$344:X$355,2)</f>
        <v>Apr</v>
      </c>
      <c r="G152" s="63">
        <f t="shared" si="43"/>
        <v>1</v>
      </c>
      <c r="H152" s="63">
        <f t="shared" si="29"/>
        <v>0</v>
      </c>
      <c r="I152" s="64">
        <f t="shared" si="47"/>
        <v>5072.679999999996</v>
      </c>
      <c r="J152" s="64">
        <f t="shared" si="38"/>
        <v>264.3</v>
      </c>
      <c r="K152" s="73">
        <f t="shared" si="39"/>
        <v>50</v>
      </c>
      <c r="L152" s="64">
        <f t="shared" si="31"/>
        <v>314.3</v>
      </c>
      <c r="M152" s="66">
        <f t="shared" si="32"/>
        <v>314.3</v>
      </c>
      <c r="N152" s="66">
        <f t="shared" si="33"/>
        <v>50</v>
      </c>
      <c r="O152" s="67">
        <f t="shared" si="34"/>
        <v>0</v>
      </c>
      <c r="P152" s="64">
        <f t="shared" si="35"/>
        <v>222.03000000000003</v>
      </c>
      <c r="Q152" s="64">
        <f t="shared" si="44"/>
        <v>42.27</v>
      </c>
      <c r="R152" s="64">
        <f>IF(ISTEXT($I$40),"",SUM(P$53:P152))</f>
        <v>15149.350000000002</v>
      </c>
      <c r="S152" s="64">
        <f>IF(ISTEXT($I$40),"",SUM(Q$53:Q152))</f>
        <v>11280.649999999996</v>
      </c>
      <c r="T152" s="64">
        <f t="shared" si="45"/>
        <v>4850.649999999996</v>
      </c>
      <c r="V152" s="68">
        <f t="shared" si="40"/>
        <v>5000</v>
      </c>
      <c r="W152" s="55"/>
      <c r="X152" s="55"/>
      <c r="Y152" s="55"/>
      <c r="AC152" s="62">
        <f>VLOOKUP(Y$347,W$344:X$355,1)</f>
        <v>4</v>
      </c>
      <c r="AD152" s="69">
        <f t="shared" si="36"/>
        <v>41000</v>
      </c>
      <c r="AE152" s="69">
        <f t="shared" si="37"/>
        <v>41000</v>
      </c>
    </row>
    <row r="153" spans="2:31" ht="11.25" customHeight="1">
      <c r="B153" s="59">
        <f t="shared" si="27"/>
        <v>2012</v>
      </c>
      <c r="C153" s="57">
        <f>VLOOKUP(Y$348,W$344:$X$355,1)</f>
        <v>5</v>
      </c>
      <c r="D153" s="55">
        <f t="shared" si="28"/>
        <v>1</v>
      </c>
      <c r="E153" s="61">
        <f t="shared" si="46"/>
        <v>2012</v>
      </c>
      <c r="F153" s="62" t="str">
        <f>VLOOKUP(Y$348,W$344:X$355,2)</f>
        <v>May</v>
      </c>
      <c r="G153" s="63">
        <f t="shared" si="43"/>
        <v>1</v>
      </c>
      <c r="H153" s="63">
        <f t="shared" si="29"/>
        <v>0</v>
      </c>
      <c r="I153" s="64">
        <f t="shared" si="47"/>
        <v>4850.649999999996</v>
      </c>
      <c r="J153" s="64">
        <f t="shared" si="38"/>
        <v>264.3</v>
      </c>
      <c r="K153" s="73">
        <f t="shared" si="39"/>
        <v>50</v>
      </c>
      <c r="L153" s="64">
        <f t="shared" si="31"/>
        <v>314.3</v>
      </c>
      <c r="M153" s="66">
        <f t="shared" si="32"/>
        <v>314.3</v>
      </c>
      <c r="N153" s="66">
        <f t="shared" si="33"/>
        <v>50</v>
      </c>
      <c r="O153" s="67">
        <f t="shared" si="34"/>
        <v>0</v>
      </c>
      <c r="P153" s="64">
        <f t="shared" si="35"/>
        <v>223.88</v>
      </c>
      <c r="Q153" s="64">
        <f t="shared" si="44"/>
        <v>40.42</v>
      </c>
      <c r="R153" s="64">
        <f>IF(ISTEXT($I$40),"",SUM(P$53:P153))</f>
        <v>15373.230000000001</v>
      </c>
      <c r="S153" s="64">
        <f>IF(ISTEXT($I$40),"",SUM(Q$53:Q153))</f>
        <v>11321.069999999996</v>
      </c>
      <c r="T153" s="64">
        <f t="shared" si="45"/>
        <v>4626.769999999996</v>
      </c>
      <c r="V153" s="68">
        <f t="shared" si="40"/>
        <v>5050</v>
      </c>
      <c r="W153" s="55"/>
      <c r="X153" s="55"/>
      <c r="Y153" s="55"/>
      <c r="AC153" s="62">
        <f>VLOOKUP(Y$348,W$344:X$355,1)</f>
        <v>5</v>
      </c>
      <c r="AD153" s="69">
        <f t="shared" si="36"/>
        <v>41030</v>
      </c>
      <c r="AE153" s="69">
        <f t="shared" si="37"/>
        <v>41030</v>
      </c>
    </row>
    <row r="154" spans="2:31" ht="11.25" customHeight="1">
      <c r="B154" s="59">
        <f t="shared" si="27"/>
        <v>2012</v>
      </c>
      <c r="C154" s="57">
        <f>VLOOKUP(Y$349,W$344:$X$355,1)</f>
        <v>6</v>
      </c>
      <c r="D154" s="55">
        <f t="shared" si="28"/>
        <v>1</v>
      </c>
      <c r="E154" s="61">
        <f t="shared" si="46"/>
        <v>2012</v>
      </c>
      <c r="F154" s="62" t="str">
        <f>VLOOKUP(Y$349,W$344:X$355,2)</f>
        <v>Jun</v>
      </c>
      <c r="G154" s="63">
        <f t="shared" si="43"/>
        <v>1</v>
      </c>
      <c r="H154" s="63">
        <f t="shared" si="29"/>
        <v>0</v>
      </c>
      <c r="I154" s="64">
        <f t="shared" si="47"/>
        <v>4626.769999999996</v>
      </c>
      <c r="J154" s="64">
        <f t="shared" si="38"/>
        <v>264.3</v>
      </c>
      <c r="K154" s="73">
        <f t="shared" si="39"/>
        <v>50</v>
      </c>
      <c r="L154" s="64">
        <f t="shared" si="31"/>
        <v>314.3</v>
      </c>
      <c r="M154" s="66">
        <f t="shared" si="32"/>
        <v>314.3</v>
      </c>
      <c r="N154" s="66">
        <f t="shared" si="33"/>
        <v>50</v>
      </c>
      <c r="O154" s="67">
        <f t="shared" si="34"/>
        <v>0</v>
      </c>
      <c r="P154" s="64">
        <f t="shared" si="35"/>
        <v>225.74</v>
      </c>
      <c r="Q154" s="64">
        <f t="shared" si="44"/>
        <v>38.56</v>
      </c>
      <c r="R154" s="64">
        <f>IF(ISTEXT($I$40),"",SUM(P$53:P154))</f>
        <v>15598.970000000001</v>
      </c>
      <c r="S154" s="64">
        <f>IF(ISTEXT($I$40),"",SUM(Q$53:Q154))</f>
        <v>11359.629999999996</v>
      </c>
      <c r="T154" s="64">
        <f t="shared" si="45"/>
        <v>4401.029999999996</v>
      </c>
      <c r="V154" s="68">
        <f t="shared" si="40"/>
        <v>5100</v>
      </c>
      <c r="W154" s="55"/>
      <c r="X154" s="55"/>
      <c r="Y154" s="55"/>
      <c r="AC154" s="62">
        <f>VLOOKUP(Y$349,W$344:X$355,1)</f>
        <v>6</v>
      </c>
      <c r="AD154" s="69">
        <f t="shared" si="36"/>
        <v>41061</v>
      </c>
      <c r="AE154" s="69">
        <f t="shared" si="37"/>
        <v>41061</v>
      </c>
    </row>
    <row r="155" spans="2:31" ht="11.25" customHeight="1">
      <c r="B155" s="59">
        <f t="shared" si="27"/>
        <v>2012</v>
      </c>
      <c r="C155" s="57">
        <f>VLOOKUP(Y$350,W$344:$X$355,1)</f>
        <v>7</v>
      </c>
      <c r="D155" s="55">
        <f t="shared" si="28"/>
        <v>1</v>
      </c>
      <c r="E155" s="61">
        <f t="shared" si="46"/>
        <v>2012</v>
      </c>
      <c r="F155" s="62" t="str">
        <f>VLOOKUP(Y$350,W$344:X$355,2)</f>
        <v>Jul</v>
      </c>
      <c r="G155" s="63">
        <f t="shared" si="43"/>
        <v>1</v>
      </c>
      <c r="H155" s="63">
        <f t="shared" si="29"/>
        <v>0</v>
      </c>
      <c r="I155" s="64">
        <f t="shared" si="47"/>
        <v>4401.029999999996</v>
      </c>
      <c r="J155" s="64">
        <f t="shared" si="38"/>
        <v>264.3</v>
      </c>
      <c r="K155" s="73">
        <f t="shared" si="39"/>
        <v>50</v>
      </c>
      <c r="L155" s="64">
        <f t="shared" si="31"/>
        <v>314.3</v>
      </c>
      <c r="M155" s="66">
        <f t="shared" si="32"/>
        <v>314.3</v>
      </c>
      <c r="N155" s="66">
        <f t="shared" si="33"/>
        <v>50</v>
      </c>
      <c r="O155" s="67">
        <f t="shared" si="34"/>
        <v>0</v>
      </c>
      <c r="P155" s="64">
        <f t="shared" si="35"/>
        <v>227.62</v>
      </c>
      <c r="Q155" s="64">
        <f t="shared" si="44"/>
        <v>36.68</v>
      </c>
      <c r="R155" s="64">
        <f>IF(ISTEXT($I$40),"",SUM(P$53:P155))</f>
        <v>15826.590000000002</v>
      </c>
      <c r="S155" s="64">
        <f>IF(ISTEXT($I$40),"",SUM(Q$53:Q155))</f>
        <v>11396.309999999996</v>
      </c>
      <c r="T155" s="64">
        <f t="shared" si="45"/>
        <v>4173.409999999996</v>
      </c>
      <c r="V155" s="68">
        <f t="shared" si="40"/>
        <v>5150</v>
      </c>
      <c r="W155" s="55"/>
      <c r="X155" s="55"/>
      <c r="Y155" s="55"/>
      <c r="AC155" s="62">
        <f>VLOOKUP(Y$350,W$344:X$355,1)</f>
        <v>7</v>
      </c>
      <c r="AD155" s="69">
        <f t="shared" si="36"/>
        <v>41091</v>
      </c>
      <c r="AE155" s="69">
        <f t="shared" si="37"/>
        <v>41091</v>
      </c>
    </row>
    <row r="156" spans="2:31" ht="11.25" customHeight="1">
      <c r="B156" s="59">
        <f t="shared" si="27"/>
        <v>2012</v>
      </c>
      <c r="C156" s="57">
        <f>VLOOKUP(Y$351,W$344:$X$355,1)</f>
        <v>8</v>
      </c>
      <c r="D156" s="55">
        <f t="shared" si="28"/>
        <v>1</v>
      </c>
      <c r="E156" s="61">
        <f t="shared" si="46"/>
        <v>2012</v>
      </c>
      <c r="F156" s="62" t="str">
        <f>VLOOKUP(Y$351,W$344:X$355,2)</f>
        <v>Aug</v>
      </c>
      <c r="G156" s="63">
        <f t="shared" si="43"/>
        <v>1</v>
      </c>
      <c r="H156" s="63">
        <f t="shared" si="29"/>
        <v>0</v>
      </c>
      <c r="I156" s="64">
        <f t="shared" si="47"/>
        <v>4173.409999999996</v>
      </c>
      <c r="J156" s="64">
        <f t="shared" si="38"/>
        <v>264.3</v>
      </c>
      <c r="K156" s="73">
        <f t="shared" si="39"/>
        <v>50</v>
      </c>
      <c r="L156" s="64">
        <f t="shared" si="31"/>
        <v>314.3</v>
      </c>
      <c r="M156" s="66">
        <f t="shared" si="32"/>
        <v>314.3</v>
      </c>
      <c r="N156" s="66">
        <f t="shared" si="33"/>
        <v>50</v>
      </c>
      <c r="O156" s="67">
        <f t="shared" si="34"/>
        <v>0</v>
      </c>
      <c r="P156" s="64">
        <f t="shared" si="35"/>
        <v>229.51999999999998</v>
      </c>
      <c r="Q156" s="64">
        <f t="shared" si="44"/>
        <v>34.78</v>
      </c>
      <c r="R156" s="64">
        <f>IF(ISTEXT($I$40),"",SUM(P$53:P156))</f>
        <v>16056.110000000002</v>
      </c>
      <c r="S156" s="64">
        <f>IF(ISTEXT($I$40),"",SUM(Q$53:Q156))</f>
        <v>11431.089999999997</v>
      </c>
      <c r="T156" s="64">
        <f t="shared" si="45"/>
        <v>3943.8899999999962</v>
      </c>
      <c r="V156" s="68">
        <f t="shared" si="40"/>
        <v>5200</v>
      </c>
      <c r="W156" s="55"/>
      <c r="X156" s="55"/>
      <c r="Y156" s="55"/>
      <c r="AC156" s="62">
        <f>VLOOKUP(Y$351,W$344:X$355,1)</f>
        <v>8</v>
      </c>
      <c r="AD156" s="69">
        <f t="shared" si="36"/>
        <v>41122</v>
      </c>
      <c r="AE156" s="69">
        <f t="shared" si="37"/>
        <v>41122</v>
      </c>
    </row>
    <row r="157" spans="2:31" ht="11.25" customHeight="1">
      <c r="B157" s="59">
        <f t="shared" si="27"/>
        <v>2012</v>
      </c>
      <c r="C157" s="57">
        <f>VLOOKUP(Y$352,W$344:$X$355,1)</f>
        <v>9</v>
      </c>
      <c r="D157" s="55">
        <f t="shared" si="28"/>
        <v>1</v>
      </c>
      <c r="E157" s="61">
        <f t="shared" si="46"/>
        <v>2012</v>
      </c>
      <c r="F157" s="62" t="str">
        <f>VLOOKUP(Y$352,W$344:X$355,2)</f>
        <v>Sep</v>
      </c>
      <c r="G157" s="63">
        <f t="shared" si="43"/>
        <v>1</v>
      </c>
      <c r="H157" s="63">
        <f t="shared" si="29"/>
        <v>0</v>
      </c>
      <c r="I157" s="64">
        <f t="shared" si="47"/>
        <v>3943.8899999999962</v>
      </c>
      <c r="J157" s="64">
        <f t="shared" si="38"/>
        <v>264.3</v>
      </c>
      <c r="K157" s="73">
        <f t="shared" si="39"/>
        <v>50</v>
      </c>
      <c r="L157" s="64">
        <f t="shared" si="31"/>
        <v>314.3</v>
      </c>
      <c r="M157" s="66">
        <f t="shared" si="32"/>
        <v>314.3</v>
      </c>
      <c r="N157" s="66">
        <f t="shared" si="33"/>
        <v>50</v>
      </c>
      <c r="O157" s="67">
        <f t="shared" si="34"/>
        <v>0</v>
      </c>
      <c r="P157" s="64">
        <f t="shared" si="35"/>
        <v>231.43</v>
      </c>
      <c r="Q157" s="64">
        <f t="shared" si="44"/>
        <v>32.87</v>
      </c>
      <c r="R157" s="64">
        <f>IF(ISTEXT($I$40),"",SUM(P$53:P157))</f>
        <v>16287.540000000003</v>
      </c>
      <c r="S157" s="64">
        <f>IF(ISTEXT($I$40),"",SUM(Q$53:Q157))</f>
        <v>11463.959999999997</v>
      </c>
      <c r="T157" s="64">
        <f t="shared" si="45"/>
        <v>3712.4599999999964</v>
      </c>
      <c r="V157" s="68">
        <f t="shared" si="40"/>
        <v>5250</v>
      </c>
      <c r="W157" s="55"/>
      <c r="X157" s="55"/>
      <c r="Y157" s="55"/>
      <c r="AC157" s="62">
        <f>VLOOKUP(Y$352,W$344:X$355,1)</f>
        <v>9</v>
      </c>
      <c r="AD157" s="69">
        <f t="shared" si="36"/>
        <v>41153</v>
      </c>
      <c r="AE157" s="69">
        <f t="shared" si="37"/>
        <v>41153</v>
      </c>
    </row>
    <row r="158" spans="2:31" ht="11.25" customHeight="1">
      <c r="B158" s="59">
        <f t="shared" si="27"/>
        <v>2012</v>
      </c>
      <c r="C158" s="57">
        <f>VLOOKUP(Y$353,W$344:$X$355,1)</f>
        <v>10</v>
      </c>
      <c r="D158" s="55">
        <f t="shared" si="28"/>
        <v>1</v>
      </c>
      <c r="E158" s="61">
        <f t="shared" si="46"/>
        <v>2012</v>
      </c>
      <c r="F158" s="62" t="str">
        <f>VLOOKUP(Y$353,W$344:X$355,2)</f>
        <v>Oct</v>
      </c>
      <c r="G158" s="63">
        <f t="shared" si="43"/>
        <v>1</v>
      </c>
      <c r="H158" s="63">
        <f t="shared" si="29"/>
        <v>0</v>
      </c>
      <c r="I158" s="64">
        <f t="shared" si="47"/>
        <v>3712.4599999999964</v>
      </c>
      <c r="J158" s="64">
        <f t="shared" si="38"/>
        <v>264.3</v>
      </c>
      <c r="K158" s="73">
        <f t="shared" si="39"/>
        <v>50</v>
      </c>
      <c r="L158" s="64">
        <f t="shared" si="31"/>
        <v>314.3</v>
      </c>
      <c r="M158" s="66">
        <f t="shared" si="32"/>
        <v>314.3</v>
      </c>
      <c r="N158" s="66">
        <f t="shared" si="33"/>
        <v>50</v>
      </c>
      <c r="O158" s="67">
        <f t="shared" si="34"/>
        <v>0</v>
      </c>
      <c r="P158" s="64">
        <f t="shared" si="35"/>
        <v>233.36</v>
      </c>
      <c r="Q158" s="64">
        <f t="shared" si="44"/>
        <v>30.94</v>
      </c>
      <c r="R158" s="64">
        <f>IF(ISTEXT($I$40),"",SUM(P$53:P158))</f>
        <v>16520.9</v>
      </c>
      <c r="S158" s="64">
        <f>IF(ISTEXT($I$40),"",SUM(Q$53:Q158))</f>
        <v>11494.899999999998</v>
      </c>
      <c r="T158" s="64">
        <f t="shared" si="45"/>
        <v>3479.0999999999963</v>
      </c>
      <c r="V158" s="68">
        <f t="shared" si="40"/>
        <v>5300</v>
      </c>
      <c r="W158" s="55"/>
      <c r="X158" s="55"/>
      <c r="Y158" s="55"/>
      <c r="AC158" s="62">
        <f>VLOOKUP(Y$353,W$344:X$355,1)</f>
        <v>10</v>
      </c>
      <c r="AD158" s="69">
        <f t="shared" si="36"/>
        <v>41183</v>
      </c>
      <c r="AE158" s="69">
        <f t="shared" si="37"/>
        <v>41183</v>
      </c>
    </row>
    <row r="159" spans="2:31" ht="11.25" customHeight="1">
      <c r="B159" s="59">
        <f t="shared" si="27"/>
        <v>2012</v>
      </c>
      <c r="C159" s="57">
        <f>VLOOKUP(Y$354,W$344:$X$355,1)</f>
        <v>11</v>
      </c>
      <c r="D159" s="55">
        <f t="shared" si="28"/>
        <v>1</v>
      </c>
      <c r="E159" s="61">
        <f t="shared" si="46"/>
        <v>2012</v>
      </c>
      <c r="F159" s="62" t="str">
        <f>VLOOKUP(Y$354,W$344:X$355,2)</f>
        <v>Nov</v>
      </c>
      <c r="G159" s="63">
        <f t="shared" si="43"/>
        <v>1</v>
      </c>
      <c r="H159" s="63">
        <f t="shared" si="29"/>
        <v>0</v>
      </c>
      <c r="I159" s="64">
        <f t="shared" si="47"/>
        <v>3479.0999999999963</v>
      </c>
      <c r="J159" s="64">
        <f t="shared" si="38"/>
        <v>264.3</v>
      </c>
      <c r="K159" s="73">
        <f t="shared" si="39"/>
        <v>50</v>
      </c>
      <c r="L159" s="64">
        <f t="shared" si="31"/>
        <v>314.3</v>
      </c>
      <c r="M159" s="66">
        <f t="shared" si="32"/>
        <v>314.3</v>
      </c>
      <c r="N159" s="66">
        <f t="shared" si="33"/>
        <v>50</v>
      </c>
      <c r="O159" s="67">
        <f t="shared" si="34"/>
        <v>0</v>
      </c>
      <c r="P159" s="64">
        <f t="shared" si="35"/>
        <v>235.31</v>
      </c>
      <c r="Q159" s="64">
        <f t="shared" si="44"/>
        <v>28.99</v>
      </c>
      <c r="R159" s="64">
        <f>IF(ISTEXT($I$40),"",SUM(P$53:P159))</f>
        <v>16756.210000000003</v>
      </c>
      <c r="S159" s="64">
        <f>IF(ISTEXT($I$40),"",SUM(Q$53:Q159))</f>
        <v>11523.889999999998</v>
      </c>
      <c r="T159" s="64">
        <f t="shared" si="45"/>
        <v>3243.7899999999963</v>
      </c>
      <c r="V159" s="68">
        <f t="shared" si="40"/>
        <v>5350</v>
      </c>
      <c r="W159" s="55"/>
      <c r="X159" s="55"/>
      <c r="Y159" s="55"/>
      <c r="AC159" s="62">
        <f>VLOOKUP(Y$354,W$344:X$355,1)</f>
        <v>11</v>
      </c>
      <c r="AD159" s="69">
        <f t="shared" si="36"/>
        <v>41214</v>
      </c>
      <c r="AE159" s="69">
        <f t="shared" si="37"/>
        <v>41214</v>
      </c>
    </row>
    <row r="160" spans="2:31" ht="11.25" customHeight="1">
      <c r="B160" s="59">
        <f t="shared" si="27"/>
        <v>2012</v>
      </c>
      <c r="C160" s="57">
        <f>VLOOKUP(Y$355,W$344:$X$355,1)</f>
        <v>12</v>
      </c>
      <c r="D160" s="55">
        <f t="shared" si="28"/>
        <v>1</v>
      </c>
      <c r="E160" s="61">
        <f t="shared" si="46"/>
        <v>2012</v>
      </c>
      <c r="F160" s="62" t="str">
        <f>VLOOKUP(Y$355,W$344:X$355,2)</f>
        <v>Dec</v>
      </c>
      <c r="G160" s="63">
        <f t="shared" si="43"/>
        <v>1</v>
      </c>
      <c r="H160" s="63">
        <f t="shared" si="29"/>
        <v>0</v>
      </c>
      <c r="I160" s="64">
        <f t="shared" si="47"/>
        <v>3243.7899999999963</v>
      </c>
      <c r="J160" s="64">
        <f t="shared" si="38"/>
        <v>264.3</v>
      </c>
      <c r="K160" s="73">
        <f t="shared" si="39"/>
        <v>50</v>
      </c>
      <c r="L160" s="64">
        <f t="shared" si="31"/>
        <v>314.3</v>
      </c>
      <c r="M160" s="66">
        <f t="shared" si="32"/>
        <v>314.3</v>
      </c>
      <c r="N160" s="66">
        <f t="shared" si="33"/>
        <v>50</v>
      </c>
      <c r="O160" s="67">
        <f t="shared" si="34"/>
        <v>0</v>
      </c>
      <c r="P160" s="64">
        <f t="shared" si="35"/>
        <v>237.26999999999998</v>
      </c>
      <c r="Q160" s="64">
        <f t="shared" si="44"/>
        <v>27.03</v>
      </c>
      <c r="R160" s="64">
        <f>IF(ISTEXT($I$40),"",SUM(P$53:P160))</f>
        <v>16993.480000000003</v>
      </c>
      <c r="S160" s="64">
        <f>IF(ISTEXT($I$40),"",SUM(Q$53:Q160))</f>
        <v>11550.919999999998</v>
      </c>
      <c r="T160" s="64">
        <f t="shared" si="45"/>
        <v>3006.5199999999963</v>
      </c>
      <c r="V160" s="68">
        <f t="shared" si="40"/>
        <v>5400</v>
      </c>
      <c r="W160" s="55"/>
      <c r="X160" s="55"/>
      <c r="Y160" s="55"/>
      <c r="AC160" s="62">
        <f>VLOOKUP(Y$355,W$344:X$355,1)</f>
        <v>12</v>
      </c>
      <c r="AD160" s="69">
        <f t="shared" si="36"/>
        <v>41244</v>
      </c>
      <c r="AE160" s="69">
        <f t="shared" si="37"/>
        <v>41244</v>
      </c>
    </row>
    <row r="161" spans="2:31" ht="11.25" customHeight="1">
      <c r="B161" s="59">
        <f t="shared" si="27"/>
        <v>2013</v>
      </c>
      <c r="C161" s="57">
        <f>VLOOKUP(Y$344,W$344:$X$355,1)</f>
        <v>1</v>
      </c>
      <c r="D161" s="55">
        <f t="shared" si="28"/>
        <v>1</v>
      </c>
      <c r="E161" s="61">
        <f>IF(Y344=1,$T$43+9,E160)</f>
        <v>2013</v>
      </c>
      <c r="F161" s="62" t="str">
        <f>VLOOKUP(Y$344,W$344:X$355,2)</f>
        <v>Jan</v>
      </c>
      <c r="G161" s="63">
        <f t="shared" si="43"/>
        <v>1</v>
      </c>
      <c r="H161" s="63">
        <f t="shared" si="29"/>
        <v>0</v>
      </c>
      <c r="I161" s="64">
        <f t="shared" si="47"/>
        <v>3006.5199999999963</v>
      </c>
      <c r="J161" s="64">
        <f t="shared" si="38"/>
        <v>264.3</v>
      </c>
      <c r="K161" s="73">
        <f t="shared" si="39"/>
        <v>50</v>
      </c>
      <c r="L161" s="64">
        <f t="shared" si="31"/>
        <v>314.3</v>
      </c>
      <c r="M161" s="66">
        <f t="shared" si="32"/>
        <v>314.3</v>
      </c>
      <c r="N161" s="66">
        <f t="shared" si="33"/>
        <v>50</v>
      </c>
      <c r="O161" s="67">
        <f t="shared" si="34"/>
        <v>0</v>
      </c>
      <c r="P161" s="64">
        <f t="shared" si="35"/>
        <v>239.25</v>
      </c>
      <c r="Q161" s="64">
        <f t="shared" si="44"/>
        <v>25.05</v>
      </c>
      <c r="R161" s="64">
        <f>IF(ISTEXT($I$40),"",SUM(P$53:P161))</f>
        <v>17232.730000000003</v>
      </c>
      <c r="S161" s="64">
        <f>IF(ISTEXT($I$40),"",SUM(Q$53:Q161))</f>
        <v>11575.969999999998</v>
      </c>
      <c r="T161" s="64">
        <f t="shared" si="45"/>
        <v>2767.2699999999963</v>
      </c>
      <c r="V161" s="68">
        <f t="shared" si="40"/>
        <v>5450</v>
      </c>
      <c r="W161" s="55"/>
      <c r="X161" s="55"/>
      <c r="Y161" s="55"/>
      <c r="AC161" s="62">
        <f>VLOOKUP(Y$344,W$344:X$355,1)</f>
        <v>1</v>
      </c>
      <c r="AD161" s="69">
        <f t="shared" si="36"/>
        <v>41275</v>
      </c>
      <c r="AE161" s="69">
        <f t="shared" si="37"/>
        <v>41275</v>
      </c>
    </row>
    <row r="162" spans="2:31" ht="11.25" customHeight="1">
      <c r="B162" s="59">
        <f t="shared" si="27"/>
        <v>2013</v>
      </c>
      <c r="C162" s="57">
        <f>VLOOKUP(Y$345,W$344:$X$355,1)</f>
        <v>2</v>
      </c>
      <c r="D162" s="55">
        <f t="shared" si="28"/>
        <v>1</v>
      </c>
      <c r="E162" s="61">
        <f aca="true" t="shared" si="48" ref="E162:E172">IF(Y345=1,$T$43+10,E161)</f>
        <v>2013</v>
      </c>
      <c r="F162" s="62" t="str">
        <f>VLOOKUP(Y$345,W$344:X$355,2)</f>
        <v>Feb</v>
      </c>
      <c r="G162" s="63">
        <f t="shared" si="43"/>
        <v>1</v>
      </c>
      <c r="H162" s="63">
        <f t="shared" si="29"/>
        <v>0</v>
      </c>
      <c r="I162" s="64">
        <f t="shared" si="47"/>
        <v>2767.2699999999963</v>
      </c>
      <c r="J162" s="64">
        <f t="shared" si="38"/>
        <v>264.3</v>
      </c>
      <c r="K162" s="73">
        <f t="shared" si="39"/>
        <v>50</v>
      </c>
      <c r="L162" s="64">
        <f t="shared" si="31"/>
        <v>314.3</v>
      </c>
      <c r="M162" s="66">
        <f t="shared" si="32"/>
        <v>314.3</v>
      </c>
      <c r="N162" s="66">
        <f t="shared" si="33"/>
        <v>50</v>
      </c>
      <c r="O162" s="67">
        <f t="shared" si="34"/>
        <v>0</v>
      </c>
      <c r="P162" s="64">
        <f t="shared" si="35"/>
        <v>241.24</v>
      </c>
      <c r="Q162" s="64">
        <f t="shared" si="44"/>
        <v>23.06</v>
      </c>
      <c r="R162" s="64">
        <f>IF(ISTEXT($I$40),"",SUM(P$53:P162))</f>
        <v>17473.970000000005</v>
      </c>
      <c r="S162" s="64">
        <f>IF(ISTEXT($I$40),"",SUM(Q$53:Q162))</f>
        <v>11599.029999999997</v>
      </c>
      <c r="T162" s="64">
        <f t="shared" si="45"/>
        <v>2526.029999999996</v>
      </c>
      <c r="V162" s="68">
        <f t="shared" si="40"/>
        <v>5500</v>
      </c>
      <c r="W162" s="55"/>
      <c r="X162" s="55"/>
      <c r="Y162" s="55"/>
      <c r="AC162" s="62">
        <f>VLOOKUP(Y$345,W$344:X$355,1)</f>
        <v>2</v>
      </c>
      <c r="AD162" s="69">
        <f t="shared" si="36"/>
        <v>41306</v>
      </c>
      <c r="AE162" s="69">
        <f t="shared" si="37"/>
        <v>41306</v>
      </c>
    </row>
    <row r="163" spans="2:31" ht="11.25" customHeight="1">
      <c r="B163" s="59">
        <f t="shared" si="27"/>
        <v>2013</v>
      </c>
      <c r="C163" s="57">
        <f>VLOOKUP(Y$346,W$344:$X$355,1)</f>
        <v>3</v>
      </c>
      <c r="D163" s="55">
        <f t="shared" si="28"/>
        <v>1</v>
      </c>
      <c r="E163" s="61">
        <f t="shared" si="48"/>
        <v>2013</v>
      </c>
      <c r="F163" s="62" t="str">
        <f>VLOOKUP(Y$346,W$344:X$355,2)</f>
        <v>Mar</v>
      </c>
      <c r="G163" s="63">
        <f t="shared" si="43"/>
        <v>1</v>
      </c>
      <c r="H163" s="63">
        <f t="shared" si="29"/>
        <v>0</v>
      </c>
      <c r="I163" s="64">
        <f t="shared" si="47"/>
        <v>2526.029999999996</v>
      </c>
      <c r="J163" s="64">
        <f t="shared" si="38"/>
        <v>264.3</v>
      </c>
      <c r="K163" s="73">
        <f t="shared" si="39"/>
        <v>50</v>
      </c>
      <c r="L163" s="64">
        <f t="shared" si="31"/>
        <v>314.3</v>
      </c>
      <c r="M163" s="66">
        <f t="shared" si="32"/>
        <v>314.3</v>
      </c>
      <c r="N163" s="66">
        <f t="shared" si="33"/>
        <v>50</v>
      </c>
      <c r="O163" s="67">
        <f t="shared" si="34"/>
        <v>0</v>
      </c>
      <c r="P163" s="64">
        <f t="shared" si="35"/>
        <v>243.25</v>
      </c>
      <c r="Q163" s="64">
        <f t="shared" si="44"/>
        <v>21.05</v>
      </c>
      <c r="R163" s="64">
        <f>IF(ISTEXT($I$40),"",SUM(P$53:P163))</f>
        <v>17717.220000000005</v>
      </c>
      <c r="S163" s="64">
        <f>IF(ISTEXT($I$40),"",SUM(Q$53:Q163))</f>
        <v>11620.079999999996</v>
      </c>
      <c r="T163" s="64">
        <f t="shared" si="45"/>
        <v>2282.779999999996</v>
      </c>
      <c r="V163" s="68">
        <f t="shared" si="40"/>
        <v>5550</v>
      </c>
      <c r="W163" s="55"/>
      <c r="X163" s="55"/>
      <c r="Y163" s="55"/>
      <c r="AC163" s="62">
        <f>VLOOKUP(Y$346,W$344:X$355,1)</f>
        <v>3</v>
      </c>
      <c r="AD163" s="69">
        <f t="shared" si="36"/>
        <v>41334</v>
      </c>
      <c r="AE163" s="69">
        <f t="shared" si="37"/>
        <v>41334</v>
      </c>
    </row>
    <row r="164" spans="2:31" ht="11.25" customHeight="1">
      <c r="B164" s="59">
        <f t="shared" si="27"/>
        <v>2013</v>
      </c>
      <c r="C164" s="57">
        <f>VLOOKUP(Y$347,W$344:$X$355,1)</f>
        <v>4</v>
      </c>
      <c r="D164" s="55">
        <f t="shared" si="28"/>
        <v>1</v>
      </c>
      <c r="E164" s="61">
        <f t="shared" si="48"/>
        <v>2013</v>
      </c>
      <c r="F164" s="62" t="str">
        <f>VLOOKUP(Y$347,W$344:X$355,2)</f>
        <v>Apr</v>
      </c>
      <c r="G164" s="63">
        <f t="shared" si="43"/>
        <v>1</v>
      </c>
      <c r="H164" s="63">
        <f t="shared" si="29"/>
        <v>0</v>
      </c>
      <c r="I164" s="64">
        <f t="shared" si="47"/>
        <v>2282.779999999996</v>
      </c>
      <c r="J164" s="64">
        <f t="shared" si="38"/>
        <v>264.3</v>
      </c>
      <c r="K164" s="73">
        <f t="shared" si="39"/>
        <v>50</v>
      </c>
      <c r="L164" s="64">
        <f t="shared" si="31"/>
        <v>314.3</v>
      </c>
      <c r="M164" s="66">
        <f t="shared" si="32"/>
        <v>314.3</v>
      </c>
      <c r="N164" s="66">
        <f t="shared" si="33"/>
        <v>50</v>
      </c>
      <c r="O164" s="67">
        <f t="shared" si="34"/>
        <v>0</v>
      </c>
      <c r="P164" s="64">
        <f t="shared" si="35"/>
        <v>245.28000000000003</v>
      </c>
      <c r="Q164" s="64">
        <f t="shared" si="44"/>
        <v>19.02</v>
      </c>
      <c r="R164" s="64">
        <f>IF(ISTEXT($I$40),"",SUM(P$53:P164))</f>
        <v>17962.500000000004</v>
      </c>
      <c r="S164" s="64">
        <f>IF(ISTEXT($I$40),"",SUM(Q$53:Q164))</f>
        <v>11639.099999999997</v>
      </c>
      <c r="T164" s="64">
        <f t="shared" si="45"/>
        <v>2037.4999999999961</v>
      </c>
      <c r="V164" s="68">
        <f t="shared" si="40"/>
        <v>5600</v>
      </c>
      <c r="W164" s="55"/>
      <c r="X164" s="55"/>
      <c r="Y164" s="55"/>
      <c r="AC164" s="62">
        <f>VLOOKUP(Y$347,W$344:X$355,1)</f>
        <v>4</v>
      </c>
      <c r="AD164" s="69">
        <f t="shared" si="36"/>
        <v>41365</v>
      </c>
      <c r="AE164" s="69">
        <f t="shared" si="37"/>
        <v>41365</v>
      </c>
    </row>
    <row r="165" spans="2:31" ht="11.25" customHeight="1">
      <c r="B165" s="59">
        <f t="shared" si="27"/>
        <v>2013</v>
      </c>
      <c r="C165" s="57">
        <f>VLOOKUP(Y$348,W$344:$X$355,1)</f>
        <v>5</v>
      </c>
      <c r="D165" s="55">
        <f t="shared" si="28"/>
        <v>1</v>
      </c>
      <c r="E165" s="61">
        <f t="shared" si="48"/>
        <v>2013</v>
      </c>
      <c r="F165" s="62" t="str">
        <f>VLOOKUP(Y$348,W$344:X$355,2)</f>
        <v>May</v>
      </c>
      <c r="G165" s="63">
        <f t="shared" si="43"/>
        <v>1</v>
      </c>
      <c r="H165" s="63">
        <f t="shared" si="29"/>
        <v>0</v>
      </c>
      <c r="I165" s="64">
        <f t="shared" si="47"/>
        <v>2037.4999999999961</v>
      </c>
      <c r="J165" s="64">
        <f t="shared" si="38"/>
        <v>264.3</v>
      </c>
      <c r="K165" s="73">
        <f t="shared" si="39"/>
        <v>50</v>
      </c>
      <c r="L165" s="64">
        <f t="shared" si="31"/>
        <v>314.3</v>
      </c>
      <c r="M165" s="66">
        <f t="shared" si="32"/>
        <v>314.3</v>
      </c>
      <c r="N165" s="66">
        <f t="shared" si="33"/>
        <v>50</v>
      </c>
      <c r="O165" s="67">
        <f t="shared" si="34"/>
        <v>0</v>
      </c>
      <c r="P165" s="64">
        <f t="shared" si="35"/>
        <v>247.32</v>
      </c>
      <c r="Q165" s="64">
        <f t="shared" si="44"/>
        <v>16.98</v>
      </c>
      <c r="R165" s="64">
        <f>IF(ISTEXT($I$40),"",SUM(P$53:P165))</f>
        <v>18209.820000000003</v>
      </c>
      <c r="S165" s="64">
        <f>IF(ISTEXT($I$40),"",SUM(Q$53:Q165))</f>
        <v>11656.079999999996</v>
      </c>
      <c r="T165" s="64">
        <f t="shared" si="45"/>
        <v>1790.1799999999962</v>
      </c>
      <c r="V165" s="68">
        <f t="shared" si="40"/>
        <v>5650</v>
      </c>
      <c r="W165" s="55"/>
      <c r="X165" s="55"/>
      <c r="Y165" s="55"/>
      <c r="AC165" s="62">
        <f>VLOOKUP(Y$348,W$344:X$355,1)</f>
        <v>5</v>
      </c>
      <c r="AD165" s="69">
        <f t="shared" si="36"/>
        <v>41395</v>
      </c>
      <c r="AE165" s="69">
        <f t="shared" si="37"/>
        <v>41395</v>
      </c>
    </row>
    <row r="166" spans="2:31" ht="11.25" customHeight="1">
      <c r="B166" s="59">
        <f t="shared" si="27"/>
        <v>2013</v>
      </c>
      <c r="C166" s="57">
        <f>VLOOKUP(Y$349,W$344:$X$355,1)</f>
        <v>6</v>
      </c>
      <c r="D166" s="55">
        <f t="shared" si="28"/>
        <v>1</v>
      </c>
      <c r="E166" s="61">
        <f t="shared" si="48"/>
        <v>2013</v>
      </c>
      <c r="F166" s="62" t="str">
        <f>VLOOKUP(Y$349,W$344:X$355,2)</f>
        <v>Jun</v>
      </c>
      <c r="G166" s="63">
        <f t="shared" si="43"/>
        <v>1</v>
      </c>
      <c r="H166" s="63">
        <f t="shared" si="29"/>
        <v>0</v>
      </c>
      <c r="I166" s="64">
        <f t="shared" si="47"/>
        <v>1790.1799999999962</v>
      </c>
      <c r="J166" s="64">
        <f t="shared" si="38"/>
        <v>264.3</v>
      </c>
      <c r="K166" s="73">
        <f t="shared" si="39"/>
        <v>50</v>
      </c>
      <c r="L166" s="64">
        <f t="shared" si="31"/>
        <v>314.3</v>
      </c>
      <c r="M166" s="66">
        <f t="shared" si="32"/>
        <v>314.3</v>
      </c>
      <c r="N166" s="66">
        <f t="shared" si="33"/>
        <v>50</v>
      </c>
      <c r="O166" s="67">
        <f t="shared" si="34"/>
        <v>0</v>
      </c>
      <c r="P166" s="64">
        <f t="shared" si="35"/>
        <v>249.38</v>
      </c>
      <c r="Q166" s="64">
        <f t="shared" si="44"/>
        <v>14.92</v>
      </c>
      <c r="R166" s="64">
        <f>IF(ISTEXT($I$40),"",SUM(P$53:P166))</f>
        <v>18459.200000000004</v>
      </c>
      <c r="S166" s="64">
        <f>IF(ISTEXT($I$40),"",SUM(Q$53:Q166))</f>
        <v>11670.999999999996</v>
      </c>
      <c r="T166" s="64">
        <f t="shared" si="45"/>
        <v>1540.799999999996</v>
      </c>
      <c r="V166" s="68">
        <f t="shared" si="40"/>
        <v>5700</v>
      </c>
      <c r="W166" s="55"/>
      <c r="X166" s="55"/>
      <c r="Y166" s="55"/>
      <c r="AC166" s="62">
        <f>VLOOKUP(Y$349,W$344:X$355,1)</f>
        <v>6</v>
      </c>
      <c r="AD166" s="69">
        <f t="shared" si="36"/>
        <v>41426</v>
      </c>
      <c r="AE166" s="69">
        <f t="shared" si="37"/>
        <v>41426</v>
      </c>
    </row>
    <row r="167" spans="2:31" ht="11.25" customHeight="1">
      <c r="B167" s="59">
        <f t="shared" si="27"/>
        <v>2013</v>
      </c>
      <c r="C167" s="57">
        <f>VLOOKUP(Y$350,W$344:$X$355,1)</f>
        <v>7</v>
      </c>
      <c r="D167" s="55">
        <f t="shared" si="28"/>
        <v>1</v>
      </c>
      <c r="E167" s="61">
        <f t="shared" si="48"/>
        <v>2013</v>
      </c>
      <c r="F167" s="62" t="str">
        <f>VLOOKUP(Y$350,W$344:X$355,2)</f>
        <v>Jul</v>
      </c>
      <c r="G167" s="63">
        <f t="shared" si="43"/>
        <v>1</v>
      </c>
      <c r="H167" s="63">
        <f t="shared" si="29"/>
        <v>0</v>
      </c>
      <c r="I167" s="64">
        <f t="shared" si="47"/>
        <v>1540.799999999996</v>
      </c>
      <c r="J167" s="64">
        <f t="shared" si="38"/>
        <v>264.3</v>
      </c>
      <c r="K167" s="73">
        <f t="shared" si="39"/>
        <v>50</v>
      </c>
      <c r="L167" s="64">
        <f t="shared" si="31"/>
        <v>314.3</v>
      </c>
      <c r="M167" s="66">
        <f t="shared" si="32"/>
        <v>314.3</v>
      </c>
      <c r="N167" s="66">
        <f t="shared" si="33"/>
        <v>50</v>
      </c>
      <c r="O167" s="67">
        <f t="shared" si="34"/>
        <v>0</v>
      </c>
      <c r="P167" s="64">
        <f t="shared" si="35"/>
        <v>251.46000000000004</v>
      </c>
      <c r="Q167" s="64">
        <f t="shared" si="44"/>
        <v>12.84</v>
      </c>
      <c r="R167" s="64">
        <f>IF(ISTEXT($I$40),"",SUM(P$53:P167))</f>
        <v>18710.660000000003</v>
      </c>
      <c r="S167" s="64">
        <f>IF(ISTEXT($I$40),"",SUM(Q$53:Q167))</f>
        <v>11683.839999999997</v>
      </c>
      <c r="T167" s="64">
        <f t="shared" si="45"/>
        <v>1289.339999999996</v>
      </c>
      <c r="V167" s="68">
        <f t="shared" si="40"/>
        <v>5750</v>
      </c>
      <c r="W167" s="55"/>
      <c r="X167" s="55"/>
      <c r="Y167" s="55"/>
      <c r="AC167" s="62">
        <f>VLOOKUP(Y$350,W$344:X$355,1)</f>
        <v>7</v>
      </c>
      <c r="AD167" s="69">
        <f t="shared" si="36"/>
        <v>41456</v>
      </c>
      <c r="AE167" s="69">
        <f t="shared" si="37"/>
        <v>41456</v>
      </c>
    </row>
    <row r="168" spans="2:31" ht="11.25" customHeight="1">
      <c r="B168" s="59">
        <f t="shared" si="27"/>
        <v>2013</v>
      </c>
      <c r="C168" s="57">
        <f>VLOOKUP(Y$351,W$344:$X$355,1)</f>
        <v>8</v>
      </c>
      <c r="D168" s="55">
        <f t="shared" si="28"/>
        <v>1</v>
      </c>
      <c r="E168" s="61">
        <f t="shared" si="48"/>
        <v>2013</v>
      </c>
      <c r="F168" s="62" t="str">
        <f>VLOOKUP(Y$351,W$344:X$355,2)</f>
        <v>Aug</v>
      </c>
      <c r="G168" s="63">
        <f t="shared" si="43"/>
        <v>1</v>
      </c>
      <c r="H168" s="63">
        <f t="shared" si="29"/>
        <v>0</v>
      </c>
      <c r="I168" s="64">
        <f t="shared" si="47"/>
        <v>1289.339999999996</v>
      </c>
      <c r="J168" s="64">
        <f t="shared" si="38"/>
        <v>264.3</v>
      </c>
      <c r="K168" s="73">
        <f t="shared" si="39"/>
        <v>50</v>
      </c>
      <c r="L168" s="64">
        <f t="shared" si="31"/>
        <v>314.3</v>
      </c>
      <c r="M168" s="66">
        <f t="shared" si="32"/>
        <v>314.3</v>
      </c>
      <c r="N168" s="66">
        <f t="shared" si="33"/>
        <v>50</v>
      </c>
      <c r="O168" s="67">
        <f t="shared" si="34"/>
        <v>0</v>
      </c>
      <c r="P168" s="64">
        <f t="shared" si="35"/>
        <v>253.56</v>
      </c>
      <c r="Q168" s="64">
        <f t="shared" si="44"/>
        <v>10.74</v>
      </c>
      <c r="R168" s="64">
        <f>IF(ISTEXT($I$40),"",SUM(P$53:P168))</f>
        <v>18964.220000000005</v>
      </c>
      <c r="S168" s="64">
        <f>IF(ISTEXT($I$40),"",SUM(Q$53:Q168))</f>
        <v>11694.579999999996</v>
      </c>
      <c r="T168" s="64">
        <f t="shared" si="45"/>
        <v>1035.779999999996</v>
      </c>
      <c r="V168" s="68">
        <f t="shared" si="40"/>
        <v>5800</v>
      </c>
      <c r="W168" s="55"/>
      <c r="X168" s="55"/>
      <c r="Y168" s="55"/>
      <c r="AC168" s="62">
        <f>VLOOKUP(Y$351,W$344:X$355,1)</f>
        <v>8</v>
      </c>
      <c r="AD168" s="69">
        <f t="shared" si="36"/>
        <v>41487</v>
      </c>
      <c r="AE168" s="69">
        <f t="shared" si="37"/>
        <v>41487</v>
      </c>
    </row>
    <row r="169" spans="2:31" ht="11.25" customHeight="1">
      <c r="B169" s="59">
        <f t="shared" si="27"/>
        <v>2013</v>
      </c>
      <c r="C169" s="57">
        <f>VLOOKUP(Y$352,W$344:$X$355,1)</f>
        <v>9</v>
      </c>
      <c r="D169" s="55">
        <f t="shared" si="28"/>
        <v>1</v>
      </c>
      <c r="E169" s="61">
        <f t="shared" si="48"/>
        <v>2013</v>
      </c>
      <c r="F169" s="62" t="str">
        <f>VLOOKUP(Y$352,W$344:X$355,2)</f>
        <v>Sep</v>
      </c>
      <c r="G169" s="63">
        <f t="shared" si="43"/>
        <v>1</v>
      </c>
      <c r="H169" s="63">
        <f t="shared" si="29"/>
        <v>0</v>
      </c>
      <c r="I169" s="64">
        <f t="shared" si="47"/>
        <v>1035.779999999996</v>
      </c>
      <c r="J169" s="64">
        <f t="shared" si="38"/>
        <v>264.3</v>
      </c>
      <c r="K169" s="73">
        <f t="shared" si="39"/>
        <v>50</v>
      </c>
      <c r="L169" s="64">
        <f t="shared" si="31"/>
        <v>314.3</v>
      </c>
      <c r="M169" s="66">
        <f t="shared" si="32"/>
        <v>314.3</v>
      </c>
      <c r="N169" s="66">
        <f t="shared" si="33"/>
        <v>50</v>
      </c>
      <c r="O169" s="67">
        <f t="shared" si="34"/>
        <v>0</v>
      </c>
      <c r="P169" s="64">
        <f t="shared" si="35"/>
        <v>255.67000000000002</v>
      </c>
      <c r="Q169" s="64">
        <f t="shared" si="44"/>
        <v>8.63</v>
      </c>
      <c r="R169" s="64">
        <f>IF(ISTEXT($I$40),"",SUM(P$53:P169))</f>
        <v>19219.890000000003</v>
      </c>
      <c r="S169" s="64">
        <f>IF(ISTEXT($I$40),"",SUM(Q$53:Q169))</f>
        <v>11703.209999999995</v>
      </c>
      <c r="T169" s="64">
        <f t="shared" si="45"/>
        <v>780.109999999996</v>
      </c>
      <c r="V169" s="68">
        <f t="shared" si="40"/>
        <v>5850</v>
      </c>
      <c r="W169" s="55"/>
      <c r="X169" s="55"/>
      <c r="Y169" s="55"/>
      <c r="AC169" s="62">
        <f>VLOOKUP(Y$352,W$344:X$355,1)</f>
        <v>9</v>
      </c>
      <c r="AD169" s="69">
        <f t="shared" si="36"/>
        <v>41518</v>
      </c>
      <c r="AE169" s="69">
        <f t="shared" si="37"/>
        <v>41518</v>
      </c>
    </row>
    <row r="170" spans="2:31" ht="11.25" customHeight="1">
      <c r="B170" s="59">
        <f t="shared" si="27"/>
        <v>2013</v>
      </c>
      <c r="C170" s="57">
        <f>VLOOKUP(Y$353,W$344:$X$355,1)</f>
        <v>10</v>
      </c>
      <c r="D170" s="55">
        <f t="shared" si="28"/>
        <v>1</v>
      </c>
      <c r="E170" s="61">
        <f t="shared" si="48"/>
        <v>2013</v>
      </c>
      <c r="F170" s="62" t="str">
        <f>VLOOKUP(Y$353,W$344:X$355,2)</f>
        <v>Oct</v>
      </c>
      <c r="G170" s="63">
        <f t="shared" si="43"/>
        <v>1</v>
      </c>
      <c r="H170" s="63">
        <f t="shared" si="29"/>
        <v>0</v>
      </c>
      <c r="I170" s="64">
        <f t="shared" si="47"/>
        <v>780.109999999996</v>
      </c>
      <c r="J170" s="64">
        <f t="shared" si="38"/>
        <v>264.3</v>
      </c>
      <c r="K170" s="73">
        <f t="shared" si="39"/>
        <v>50</v>
      </c>
      <c r="L170" s="64">
        <f t="shared" si="31"/>
        <v>314.3</v>
      </c>
      <c r="M170" s="66">
        <f t="shared" si="32"/>
        <v>314.3</v>
      </c>
      <c r="N170" s="66">
        <f t="shared" si="33"/>
        <v>50</v>
      </c>
      <c r="O170" s="67">
        <f t="shared" si="34"/>
        <v>0</v>
      </c>
      <c r="P170" s="64">
        <f t="shared" si="35"/>
        <v>257.8</v>
      </c>
      <c r="Q170" s="64">
        <f t="shared" si="44"/>
        <v>6.5</v>
      </c>
      <c r="R170" s="64">
        <f>IF(ISTEXT($I$40),"",SUM(P$53:P170))</f>
        <v>19477.690000000002</v>
      </c>
      <c r="S170" s="64">
        <f>IF(ISTEXT($I$40),"",SUM(Q$53:Q170))</f>
        <v>11709.709999999995</v>
      </c>
      <c r="T170" s="64">
        <f t="shared" si="45"/>
        <v>522.3099999999961</v>
      </c>
      <c r="V170" s="68">
        <f t="shared" si="40"/>
        <v>5900</v>
      </c>
      <c r="W170" s="55"/>
      <c r="X170" s="55"/>
      <c r="Y170" s="55"/>
      <c r="AC170" s="62">
        <f>VLOOKUP(Y$353,W$344:X$355,1)</f>
        <v>10</v>
      </c>
      <c r="AD170" s="69">
        <f t="shared" si="36"/>
        <v>41548</v>
      </c>
      <c r="AE170" s="69">
        <f t="shared" si="37"/>
        <v>41548</v>
      </c>
    </row>
    <row r="171" spans="2:31" ht="11.25" customHeight="1">
      <c r="B171" s="59">
        <f t="shared" si="27"/>
        <v>2013</v>
      </c>
      <c r="C171" s="57">
        <f>VLOOKUP(Y$354,W$344:$X$355,1)</f>
        <v>11</v>
      </c>
      <c r="D171" s="55">
        <f t="shared" si="28"/>
        <v>1</v>
      </c>
      <c r="E171" s="61">
        <f t="shared" si="48"/>
        <v>2013</v>
      </c>
      <c r="F171" s="62" t="str">
        <f>VLOOKUP(Y$354,W$344:X$355,2)</f>
        <v>Nov</v>
      </c>
      <c r="G171" s="63">
        <f t="shared" si="43"/>
        <v>1</v>
      </c>
      <c r="H171" s="63">
        <f t="shared" si="29"/>
        <v>0</v>
      </c>
      <c r="I171" s="64">
        <f t="shared" si="47"/>
        <v>522.3099999999961</v>
      </c>
      <c r="J171" s="64">
        <f t="shared" si="38"/>
        <v>264.3</v>
      </c>
      <c r="K171" s="73">
        <f t="shared" si="39"/>
        <v>50</v>
      </c>
      <c r="L171" s="64">
        <f t="shared" si="31"/>
        <v>314.3</v>
      </c>
      <c r="M171" s="66">
        <f t="shared" si="32"/>
        <v>314.3</v>
      </c>
      <c r="N171" s="66">
        <f t="shared" si="33"/>
        <v>50</v>
      </c>
      <c r="O171" s="67">
        <f t="shared" si="34"/>
        <v>0</v>
      </c>
      <c r="P171" s="64">
        <f t="shared" si="35"/>
        <v>259.95</v>
      </c>
      <c r="Q171" s="64">
        <f t="shared" si="44"/>
        <v>4.35</v>
      </c>
      <c r="R171" s="64">
        <f>IF(ISTEXT($I$40),"",SUM(P$53:P171))</f>
        <v>19737.640000000003</v>
      </c>
      <c r="S171" s="64">
        <f>IF(ISTEXT($I$40),"",SUM(Q$53:Q171))</f>
        <v>11714.059999999996</v>
      </c>
      <c r="T171" s="64">
        <f t="shared" si="45"/>
        <v>262.3599999999961</v>
      </c>
      <c r="V171" s="68">
        <f t="shared" si="40"/>
        <v>5950</v>
      </c>
      <c r="W171" s="55"/>
      <c r="X171" s="55"/>
      <c r="Y171" s="55"/>
      <c r="AC171" s="62">
        <f>VLOOKUP(Y$354,W$344:X$355,1)</f>
        <v>11</v>
      </c>
      <c r="AD171" s="69">
        <f t="shared" si="36"/>
        <v>41579</v>
      </c>
      <c r="AE171" s="69">
        <f t="shared" si="37"/>
        <v>41579</v>
      </c>
    </row>
    <row r="172" spans="2:31" ht="11.25" customHeight="1">
      <c r="B172" s="59">
        <f t="shared" si="27"/>
        <v>2013</v>
      </c>
      <c r="C172" s="57">
        <f>VLOOKUP(Y$355,W$344:$X$355,1)</f>
        <v>12</v>
      </c>
      <c r="D172" s="55">
        <f t="shared" si="28"/>
        <v>1</v>
      </c>
      <c r="E172" s="61">
        <f t="shared" si="48"/>
        <v>2013</v>
      </c>
      <c r="F172" s="62" t="str">
        <f>VLOOKUP(Y$355,W$344:X$355,2)</f>
        <v>Dec</v>
      </c>
      <c r="G172" s="63">
        <f t="shared" si="43"/>
        <v>1</v>
      </c>
      <c r="H172" s="63">
        <f t="shared" si="29"/>
        <v>0</v>
      </c>
      <c r="I172" s="64">
        <f t="shared" si="47"/>
        <v>262.3599999999961</v>
      </c>
      <c r="J172" s="64">
        <f t="shared" si="38"/>
        <v>264.3</v>
      </c>
      <c r="K172" s="73">
        <f t="shared" si="39"/>
        <v>50</v>
      </c>
      <c r="L172" s="64">
        <f t="shared" si="31"/>
        <v>314.3</v>
      </c>
      <c r="M172" s="66">
        <f t="shared" si="32"/>
        <v>314.3</v>
      </c>
      <c r="N172" s="66">
        <f t="shared" si="33"/>
        <v>50</v>
      </c>
      <c r="O172" s="67">
        <f t="shared" si="34"/>
        <v>0</v>
      </c>
      <c r="P172" s="64">
        <f t="shared" si="35"/>
        <v>262.11</v>
      </c>
      <c r="Q172" s="64">
        <f t="shared" si="44"/>
        <v>2.19</v>
      </c>
      <c r="R172" s="64">
        <f>IF(ISTEXT($I$40),"",SUM(P$53:P172))</f>
        <v>19999.750000000004</v>
      </c>
      <c r="S172" s="64">
        <f>IF(ISTEXT($I$40),"",SUM(Q$53:Q172))</f>
        <v>11716.249999999996</v>
      </c>
      <c r="T172" s="64">
        <f t="shared" si="45"/>
        <v>0.2499999999960778</v>
      </c>
      <c r="V172" s="68">
        <f t="shared" si="40"/>
        <v>6000</v>
      </c>
      <c r="W172" s="55"/>
      <c r="X172" s="55"/>
      <c r="Y172" s="55"/>
      <c r="AC172" s="62">
        <f>VLOOKUP(Y$355,W$344:X$355,1)</f>
        <v>12</v>
      </c>
      <c r="AD172" s="69">
        <f t="shared" si="36"/>
        <v>41609</v>
      </c>
      <c r="AE172" s="69">
        <f t="shared" si="37"/>
        <v>41609</v>
      </c>
    </row>
    <row r="173" spans="5:20" ht="11.25" customHeight="1">
      <c r="E173" s="3"/>
      <c r="F173" s="17"/>
      <c r="G173" s="17"/>
      <c r="H173" s="17"/>
      <c r="I173" s="1"/>
      <c r="J173" s="1"/>
      <c r="K173" s="1"/>
      <c r="L173" s="1"/>
      <c r="M173" s="2"/>
      <c r="N173" s="2"/>
      <c r="O173" s="2"/>
      <c r="P173" s="2"/>
      <c r="Q173" s="2"/>
      <c r="R173" s="1"/>
      <c r="S173" s="1"/>
      <c r="T173" s="2"/>
    </row>
    <row r="174" spans="5:20" ht="11.25" customHeight="1">
      <c r="E174" s="3"/>
      <c r="F174" s="17"/>
      <c r="G174" s="17"/>
      <c r="H174" s="17"/>
      <c r="I174" s="1"/>
      <c r="J174" s="1"/>
      <c r="K174" s="1"/>
      <c r="L174" s="1"/>
      <c r="M174" s="2"/>
      <c r="N174" s="2"/>
      <c r="O174" s="2"/>
      <c r="P174" s="2"/>
      <c r="Q174" s="2"/>
      <c r="R174" s="1"/>
      <c r="S174" s="1"/>
      <c r="T174" s="2"/>
    </row>
    <row r="175" spans="5:20" ht="12" customHeight="1">
      <c r="E175" s="17"/>
      <c r="F175" s="17"/>
      <c r="G175" s="17"/>
      <c r="H175" s="17"/>
      <c r="I175"/>
      <c r="J175"/>
      <c r="K175"/>
      <c r="L175"/>
      <c r="M175" s="17"/>
      <c r="N175" s="17"/>
      <c r="O175" s="17"/>
      <c r="P175" s="17"/>
      <c r="Q175" s="17"/>
      <c r="R175" s="17"/>
      <c r="S175" s="17"/>
      <c r="T175" s="17"/>
    </row>
    <row r="176" spans="5:20" ht="13.5" customHeight="1">
      <c r="E176" s="35" t="s">
        <v>15</v>
      </c>
      <c r="F176" s="17"/>
      <c r="G176" s="17"/>
      <c r="H176" s="17"/>
      <c r="I176" s="17"/>
      <c r="J176" s="17"/>
      <c r="K176" s="17"/>
      <c r="L176" s="17"/>
      <c r="M176" s="17"/>
      <c r="N176" s="17"/>
      <c r="O176" s="17"/>
      <c r="P176" s="17"/>
      <c r="Q176" s="17"/>
      <c r="R176" s="17"/>
      <c r="S176" s="17"/>
      <c r="T176" s="17"/>
    </row>
    <row r="177" spans="5:20" ht="11.25" customHeight="1">
      <c r="E177" s="17"/>
      <c r="F177" s="20"/>
      <c r="G177" s="21"/>
      <c r="H177" s="21"/>
      <c r="I177" s="22" t="s">
        <v>7</v>
      </c>
      <c r="J177" s="22"/>
      <c r="K177" s="22"/>
      <c r="L177" s="22"/>
      <c r="M177" s="22"/>
      <c r="N177" s="22"/>
      <c r="O177" s="22"/>
      <c r="P177" s="23"/>
      <c r="Q177" s="23"/>
      <c r="R177" s="23" t="s">
        <v>16</v>
      </c>
      <c r="S177" s="22" t="s">
        <v>16</v>
      </c>
      <c r="T177" s="22" t="s">
        <v>17</v>
      </c>
    </row>
    <row r="178" spans="5:20" ht="11.25" customHeight="1">
      <c r="E178" s="17"/>
      <c r="F178" s="25" t="s">
        <v>10</v>
      </c>
      <c r="G178" s="26"/>
      <c r="H178" s="26"/>
      <c r="I178" s="28" t="s">
        <v>12</v>
      </c>
      <c r="J178" s="28"/>
      <c r="K178" s="28"/>
      <c r="L178" s="28"/>
      <c r="M178" s="28" t="s">
        <v>18</v>
      </c>
      <c r="N178" s="28"/>
      <c r="O178" s="28"/>
      <c r="P178" s="28" t="s">
        <v>19</v>
      </c>
      <c r="Q178" s="28" t="s">
        <v>20</v>
      </c>
      <c r="R178" s="28" t="s">
        <v>19</v>
      </c>
      <c r="S178" s="28" t="s">
        <v>20</v>
      </c>
      <c r="T178" s="28" t="s">
        <v>21</v>
      </c>
    </row>
    <row r="179" spans="5:20" ht="11.25" customHeight="1">
      <c r="E179" s="17"/>
      <c r="F179" s="61">
        <f>IF(NOT(ISNUMBER(T43)),"",IF(F53="Jan",1+T43,MAX(E53:E64)))</f>
        <v>2005</v>
      </c>
      <c r="G179" s="61"/>
      <c r="H179" s="61"/>
      <c r="I179" s="70">
        <f>IF(ISTEXT(F179),"",INDEX(T53:T64,13-Y344,1))</f>
        <v>18773.179999999993</v>
      </c>
      <c r="J179" s="70"/>
      <c r="K179" s="70"/>
      <c r="L179" s="70"/>
      <c r="M179" s="70">
        <f>IF(ISTEXT(F179),"",I$41*12)</f>
        <v>3171.6000000000004</v>
      </c>
      <c r="N179" s="70"/>
      <c r="O179" s="70"/>
      <c r="P179" s="71">
        <f>IF(ISTEXT(F179),"",I179-T179)</f>
        <v>1355.4166031850837</v>
      </c>
      <c r="Q179" s="71">
        <f>IF(ISTEXT(F179),"",M179-P179)</f>
        <v>1816.1833968149167</v>
      </c>
      <c r="R179" s="70">
        <f>IF(ISTEXT(F179),"",T40-T179)</f>
        <v>2582.2366031850906</v>
      </c>
      <c r="S179" s="70">
        <f>IF(ISTEXT(F179),"",IF(AA364&lt;12,(24-AA364)*I41-R179,24*I41-R179))</f>
        <v>3760.96339681491</v>
      </c>
      <c r="T179" s="71">
        <f aca="true" t="shared" si="49" ref="T179:T208">IF(ISTEXT(F179),"",IF(F179=AA$363,0,IF(ISTEXT(F179),"",PV(T$41/12,X357,-I$41))))</f>
        <v>17417.76339681491</v>
      </c>
    </row>
    <row r="180" spans="5:20" ht="11.25" customHeight="1">
      <c r="E180" s="17"/>
      <c r="F180" s="61">
        <f>IF(ISTEXT(F179),"",IF(MAX(F$179:F179)=AA$363,"",F179+1))</f>
        <v>2006</v>
      </c>
      <c r="G180" s="61"/>
      <c r="H180" s="61"/>
      <c r="I180" s="70">
        <f>IF(ISTEXT(F180),"",T179)</f>
        <v>17417.76339681491</v>
      </c>
      <c r="J180" s="70"/>
      <c r="K180" s="70"/>
      <c r="L180" s="70"/>
      <c r="M180" s="70">
        <f aca="true" t="shared" si="50" ref="M180:M208">IF(ISTEXT(F180),"",I$41*MIN(12,X357))</f>
        <v>3171.6000000000004</v>
      </c>
      <c r="N180" s="70"/>
      <c r="O180" s="70"/>
      <c r="P180" s="71">
        <f>IF(ISTEXT(F180),"",I180-T180)</f>
        <v>1497.2122137209371</v>
      </c>
      <c r="Q180" s="71">
        <f>IF(ISTEXT(F180),"",M180-P180)</f>
        <v>1674.3877862790632</v>
      </c>
      <c r="R180" s="70">
        <f aca="true" t="shared" si="51" ref="R180:R208">IF(ISTEXT(F180),"",R179+P180)</f>
        <v>4079.448816906028</v>
      </c>
      <c r="S180" s="70">
        <f aca="true" t="shared" si="52" ref="S180:S208">IF(ISTEXT(I180),"",S179+Q180)</f>
        <v>5435.351183093973</v>
      </c>
      <c r="T180" s="71">
        <f t="shared" si="49"/>
        <v>15920.551183093972</v>
      </c>
    </row>
    <row r="181" spans="5:20" ht="11.25" customHeight="1">
      <c r="E181" s="17"/>
      <c r="F181" s="61">
        <f>IF(ISTEXT(F180),"",IF(MAX(F$179:F180)=AA$363,"",F180+1))</f>
        <v>2007</v>
      </c>
      <c r="G181" s="61"/>
      <c r="H181" s="61"/>
      <c r="I181" s="70">
        <f aca="true" t="shared" si="53" ref="I181:I196">IF(ISTEXT(F181),"",T180)</f>
        <v>15920.551183093972</v>
      </c>
      <c r="J181" s="70"/>
      <c r="K181" s="70"/>
      <c r="L181" s="70"/>
      <c r="M181" s="70">
        <f t="shared" si="50"/>
        <v>3171.6000000000004</v>
      </c>
      <c r="N181" s="70"/>
      <c r="O181" s="70"/>
      <c r="P181" s="71">
        <f aca="true" t="shared" si="54" ref="P181:P196">IF(ISTEXT(F181),"",I181-T181)</f>
        <v>1653.9898972302326</v>
      </c>
      <c r="Q181" s="71">
        <f aca="true" t="shared" si="55" ref="Q181:Q196">IF(ISTEXT(F181),"",M181-P181)</f>
        <v>1517.6101027697678</v>
      </c>
      <c r="R181" s="70">
        <f t="shared" si="51"/>
        <v>5733.43871413626</v>
      </c>
      <c r="S181" s="70">
        <f t="shared" si="52"/>
        <v>6952.961285863741</v>
      </c>
      <c r="T181" s="71">
        <f t="shared" si="49"/>
        <v>14266.56128586374</v>
      </c>
    </row>
    <row r="182" spans="5:20" ht="11.25" customHeight="1">
      <c r="E182" s="17"/>
      <c r="F182" s="61">
        <f>IF(ISTEXT(F181),"",IF(MAX(F$179:F181)=AA$363,"",F181+1))</f>
        <v>2008</v>
      </c>
      <c r="G182" s="61"/>
      <c r="H182" s="61"/>
      <c r="I182" s="70">
        <f t="shared" si="53"/>
        <v>14266.56128586374</v>
      </c>
      <c r="J182" s="70"/>
      <c r="K182" s="70"/>
      <c r="L182" s="70"/>
      <c r="M182" s="70">
        <f t="shared" si="50"/>
        <v>3171.6000000000004</v>
      </c>
      <c r="N182" s="70"/>
      <c r="O182" s="70"/>
      <c r="P182" s="71">
        <f t="shared" si="54"/>
        <v>1827.1842528861234</v>
      </c>
      <c r="Q182" s="71">
        <f t="shared" si="55"/>
        <v>1344.415747113877</v>
      </c>
      <c r="R182" s="70">
        <f t="shared" si="51"/>
        <v>7560.622967022384</v>
      </c>
      <c r="S182" s="70">
        <f t="shared" si="52"/>
        <v>8297.377032977618</v>
      </c>
      <c r="T182" s="71">
        <f t="shared" si="49"/>
        <v>12439.377032977616</v>
      </c>
    </row>
    <row r="183" spans="5:20" ht="11.25" customHeight="1">
      <c r="E183" s="17"/>
      <c r="F183" s="61">
        <f>IF(ISTEXT(F182),"",IF(MAX(F$179:F182)=AA$363,"",F182+1))</f>
        <v>2009</v>
      </c>
      <c r="G183" s="61"/>
      <c r="H183" s="61"/>
      <c r="I183" s="70">
        <f t="shared" si="53"/>
        <v>12439.377032977616</v>
      </c>
      <c r="J183" s="70"/>
      <c r="K183" s="70"/>
      <c r="L183" s="70"/>
      <c r="M183" s="70">
        <f t="shared" si="50"/>
        <v>3171.6000000000004</v>
      </c>
      <c r="N183" s="70"/>
      <c r="O183" s="70"/>
      <c r="P183" s="71">
        <f t="shared" si="54"/>
        <v>2018.5143207862675</v>
      </c>
      <c r="Q183" s="71">
        <f t="shared" si="55"/>
        <v>1153.0856792137329</v>
      </c>
      <c r="R183" s="70">
        <f t="shared" si="51"/>
        <v>9579.137287808651</v>
      </c>
      <c r="S183" s="70">
        <f t="shared" si="52"/>
        <v>9450.46271219135</v>
      </c>
      <c r="T183" s="71">
        <f t="shared" si="49"/>
        <v>10420.862712191349</v>
      </c>
    </row>
    <row r="184" spans="5:20" ht="11.25" customHeight="1">
      <c r="E184" s="17"/>
      <c r="F184" s="61">
        <f>IF(ISTEXT(F183),"",IF(MAX(F$179:F183)=AA$363,"",F183+1))</f>
        <v>2010</v>
      </c>
      <c r="G184" s="61"/>
      <c r="H184" s="61"/>
      <c r="I184" s="70">
        <f t="shared" si="53"/>
        <v>10420.862712191349</v>
      </c>
      <c r="J184" s="70"/>
      <c r="K184" s="70"/>
      <c r="L184" s="70"/>
      <c r="M184" s="70">
        <f t="shared" si="50"/>
        <v>3171.6000000000004</v>
      </c>
      <c r="N184" s="70"/>
      <c r="O184" s="70"/>
      <c r="P184" s="71">
        <f t="shared" si="54"/>
        <v>2229.8791469899807</v>
      </c>
      <c r="Q184" s="71">
        <f t="shared" si="55"/>
        <v>941.7208530100197</v>
      </c>
      <c r="R184" s="70">
        <f t="shared" si="51"/>
        <v>11809.016434798632</v>
      </c>
      <c r="S184" s="70">
        <f t="shared" si="52"/>
        <v>10392.18356520137</v>
      </c>
      <c r="T184" s="71">
        <f t="shared" si="49"/>
        <v>8190.983565201368</v>
      </c>
    </row>
    <row r="185" spans="5:20" ht="11.25" customHeight="1">
      <c r="E185" s="17"/>
      <c r="F185" s="61">
        <f>IF(ISTEXT(F184),"",IF(MAX(F$179:F184)=AA$363,"",F184+1))</f>
        <v>2011</v>
      </c>
      <c r="G185" s="61"/>
      <c r="H185" s="61"/>
      <c r="I185" s="70">
        <f t="shared" si="53"/>
        <v>8190.983565201368</v>
      </c>
      <c r="J185" s="70"/>
      <c r="K185" s="70"/>
      <c r="L185" s="70"/>
      <c r="M185" s="70">
        <f t="shared" si="50"/>
        <v>3171.6000000000004</v>
      </c>
      <c r="N185" s="70"/>
      <c r="O185" s="70"/>
      <c r="P185" s="71">
        <f t="shared" si="54"/>
        <v>2463.376632494681</v>
      </c>
      <c r="Q185" s="71">
        <f t="shared" si="55"/>
        <v>708.2233675053194</v>
      </c>
      <c r="R185" s="70">
        <f t="shared" si="51"/>
        <v>14272.393067293313</v>
      </c>
      <c r="S185" s="70">
        <f t="shared" si="52"/>
        <v>11100.40693270669</v>
      </c>
      <c r="T185" s="71">
        <f t="shared" si="49"/>
        <v>5727.606932706687</v>
      </c>
    </row>
    <row r="186" spans="5:20" ht="11.25" customHeight="1">
      <c r="E186" s="17"/>
      <c r="F186" s="61">
        <f>IF(ISTEXT(F185),"",IF(MAX(F$179:F185)=AA$363,"",F185+1))</f>
        <v>2012</v>
      </c>
      <c r="G186" s="61"/>
      <c r="H186" s="61"/>
      <c r="I186" s="70">
        <f t="shared" si="53"/>
        <v>5727.606932706687</v>
      </c>
      <c r="J186" s="70"/>
      <c r="K186" s="70"/>
      <c r="L186" s="70"/>
      <c r="M186" s="70">
        <f t="shared" si="50"/>
        <v>3171.6000000000004</v>
      </c>
      <c r="N186" s="70"/>
      <c r="O186" s="70"/>
      <c r="P186" s="71">
        <f t="shared" si="54"/>
        <v>2721.324355946411</v>
      </c>
      <c r="Q186" s="71">
        <f t="shared" si="55"/>
        <v>450.27564405358953</v>
      </c>
      <c r="R186" s="70">
        <f t="shared" si="51"/>
        <v>16993.717423239723</v>
      </c>
      <c r="S186" s="70">
        <f t="shared" si="52"/>
        <v>11550.682576760279</v>
      </c>
      <c r="T186" s="71">
        <f t="shared" si="49"/>
        <v>3006.2825767602762</v>
      </c>
    </row>
    <row r="187" spans="5:20" ht="11.25" customHeight="1">
      <c r="E187" s="17"/>
      <c r="F187" s="61">
        <f>IF(ISTEXT(F186),"",IF(MAX(F$179:F186)=AA$363,"",F186+1))</f>
        <v>2013</v>
      </c>
      <c r="G187" s="61"/>
      <c r="H187" s="61"/>
      <c r="I187" s="70">
        <f t="shared" si="53"/>
        <v>3006.2825767602762</v>
      </c>
      <c r="J187" s="70"/>
      <c r="K187" s="70"/>
      <c r="L187" s="70"/>
      <c r="M187" s="70">
        <f t="shared" si="50"/>
        <v>3171.6000000000004</v>
      </c>
      <c r="N187" s="70"/>
      <c r="O187" s="70"/>
      <c r="P187" s="71">
        <f t="shared" si="54"/>
        <v>3006.2825767602762</v>
      </c>
      <c r="Q187" s="71">
        <f t="shared" si="55"/>
        <v>165.31742323972412</v>
      </c>
      <c r="R187" s="70">
        <f t="shared" si="51"/>
        <v>20000</v>
      </c>
      <c r="S187" s="70">
        <f t="shared" si="52"/>
        <v>11716.000000000004</v>
      </c>
      <c r="T187" s="71">
        <f t="shared" si="49"/>
        <v>0</v>
      </c>
    </row>
    <row r="188" spans="5:20" ht="11.25" customHeight="1">
      <c r="E188" s="17"/>
      <c r="F188" s="61">
        <f>IF(ISTEXT(F187),"",IF(MAX(F$179:F187)=AA$363,"",F187+1))</f>
      </c>
      <c r="G188" s="61"/>
      <c r="H188" s="61"/>
      <c r="I188" s="70">
        <f t="shared" si="53"/>
      </c>
      <c r="J188" s="70"/>
      <c r="K188" s="70"/>
      <c r="L188" s="70"/>
      <c r="M188" s="70">
        <f t="shared" si="50"/>
      </c>
      <c r="N188" s="70"/>
      <c r="O188" s="70"/>
      <c r="P188" s="71">
        <f t="shared" si="54"/>
      </c>
      <c r="Q188" s="71">
        <f t="shared" si="55"/>
      </c>
      <c r="R188" s="70">
        <f t="shared" si="51"/>
      </c>
      <c r="S188" s="70">
        <f t="shared" si="52"/>
      </c>
      <c r="T188" s="71">
        <f t="shared" si="49"/>
      </c>
    </row>
    <row r="189" spans="5:20" ht="11.25" customHeight="1">
      <c r="E189" s="17"/>
      <c r="F189" s="61">
        <f>IF(ISTEXT(F188),"",IF(MAX(F$179:F188)=AA$363,"",F188+1))</f>
      </c>
      <c r="G189" s="61"/>
      <c r="H189" s="61"/>
      <c r="I189" s="70">
        <f t="shared" si="53"/>
      </c>
      <c r="J189" s="70"/>
      <c r="K189" s="70"/>
      <c r="L189" s="70"/>
      <c r="M189" s="70">
        <f t="shared" si="50"/>
      </c>
      <c r="N189" s="70"/>
      <c r="O189" s="70"/>
      <c r="P189" s="71">
        <f t="shared" si="54"/>
      </c>
      <c r="Q189" s="71">
        <f t="shared" si="55"/>
      </c>
      <c r="R189" s="70">
        <f t="shared" si="51"/>
      </c>
      <c r="S189" s="70">
        <f t="shared" si="52"/>
      </c>
      <c r="T189" s="71">
        <f t="shared" si="49"/>
      </c>
    </row>
    <row r="190" spans="5:20" ht="11.25" customHeight="1">
      <c r="E190" s="17"/>
      <c r="F190" s="61">
        <f>IF(ISTEXT(F189),"",IF(MAX(F$179:F189)=AA$363,"",F189+1))</f>
      </c>
      <c r="G190" s="61"/>
      <c r="H190" s="61"/>
      <c r="I190" s="70">
        <f t="shared" si="53"/>
      </c>
      <c r="J190" s="70"/>
      <c r="K190" s="70"/>
      <c r="L190" s="70"/>
      <c r="M190" s="70">
        <f t="shared" si="50"/>
      </c>
      <c r="N190" s="70"/>
      <c r="O190" s="70"/>
      <c r="P190" s="71">
        <f t="shared" si="54"/>
      </c>
      <c r="Q190" s="71">
        <f t="shared" si="55"/>
      </c>
      <c r="R190" s="70">
        <f t="shared" si="51"/>
      </c>
      <c r="S190" s="70">
        <f t="shared" si="52"/>
      </c>
      <c r="T190" s="71">
        <f t="shared" si="49"/>
      </c>
    </row>
    <row r="191" spans="5:20" ht="11.25" customHeight="1">
      <c r="E191" s="17"/>
      <c r="F191" s="61">
        <f>IF(ISTEXT(F190),"",IF(MAX(F$179:F190)=AA$363,"",F190+1))</f>
      </c>
      <c r="G191" s="61"/>
      <c r="H191" s="61"/>
      <c r="I191" s="70">
        <f t="shared" si="53"/>
      </c>
      <c r="J191" s="70"/>
      <c r="K191" s="70"/>
      <c r="L191" s="70"/>
      <c r="M191" s="70">
        <f t="shared" si="50"/>
      </c>
      <c r="N191" s="70"/>
      <c r="O191" s="70"/>
      <c r="P191" s="71">
        <f t="shared" si="54"/>
      </c>
      <c r="Q191" s="71">
        <f t="shared" si="55"/>
      </c>
      <c r="R191" s="70">
        <f t="shared" si="51"/>
      </c>
      <c r="S191" s="70">
        <f t="shared" si="52"/>
      </c>
      <c r="T191" s="71">
        <f t="shared" si="49"/>
      </c>
    </row>
    <row r="192" spans="5:20" ht="11.25" customHeight="1">
      <c r="E192" s="17"/>
      <c r="F192" s="61">
        <f>IF(ISTEXT(F191),"",IF(MAX(F$179:F191)=AA$363,"",F191+1))</f>
      </c>
      <c r="G192" s="61"/>
      <c r="H192" s="61"/>
      <c r="I192" s="70">
        <f t="shared" si="53"/>
      </c>
      <c r="J192" s="70"/>
      <c r="K192" s="70"/>
      <c r="L192" s="70"/>
      <c r="M192" s="70">
        <f t="shared" si="50"/>
      </c>
      <c r="N192" s="70"/>
      <c r="O192" s="70"/>
      <c r="P192" s="71">
        <f t="shared" si="54"/>
      </c>
      <c r="Q192" s="71">
        <f t="shared" si="55"/>
      </c>
      <c r="R192" s="70">
        <f t="shared" si="51"/>
      </c>
      <c r="S192" s="70">
        <f t="shared" si="52"/>
      </c>
      <c r="T192" s="71">
        <f t="shared" si="49"/>
      </c>
    </row>
    <row r="193" spans="5:20" ht="11.25" customHeight="1">
      <c r="E193" s="17"/>
      <c r="F193" s="61">
        <f>IF(ISTEXT(F192),"",IF(MAX(F$179:F192)=AA$363,"",F192+1))</f>
      </c>
      <c r="G193" s="61"/>
      <c r="H193" s="61"/>
      <c r="I193" s="70">
        <f t="shared" si="53"/>
      </c>
      <c r="J193" s="70"/>
      <c r="K193" s="70"/>
      <c r="L193" s="70"/>
      <c r="M193" s="70">
        <f t="shared" si="50"/>
      </c>
      <c r="N193" s="70"/>
      <c r="O193" s="70"/>
      <c r="P193" s="71">
        <f t="shared" si="54"/>
      </c>
      <c r="Q193" s="71">
        <f t="shared" si="55"/>
      </c>
      <c r="R193" s="70">
        <f t="shared" si="51"/>
      </c>
      <c r="S193" s="70">
        <f t="shared" si="52"/>
      </c>
      <c r="T193" s="71">
        <f t="shared" si="49"/>
      </c>
    </row>
    <row r="194" spans="5:20" ht="11.25" customHeight="1">
      <c r="E194" s="17"/>
      <c r="F194" s="61">
        <f>IF(ISTEXT(F193),"",IF(MAX(F$179:F193)=AA$363,"",F193+1))</f>
      </c>
      <c r="G194" s="61"/>
      <c r="H194" s="61"/>
      <c r="I194" s="70">
        <f t="shared" si="53"/>
      </c>
      <c r="J194" s="70"/>
      <c r="K194" s="70"/>
      <c r="L194" s="70"/>
      <c r="M194" s="70">
        <f t="shared" si="50"/>
      </c>
      <c r="N194" s="70"/>
      <c r="O194" s="70"/>
      <c r="P194" s="71">
        <f t="shared" si="54"/>
      </c>
      <c r="Q194" s="71">
        <f t="shared" si="55"/>
      </c>
      <c r="R194" s="70">
        <f t="shared" si="51"/>
      </c>
      <c r="S194" s="70">
        <f t="shared" si="52"/>
      </c>
      <c r="T194" s="71">
        <f t="shared" si="49"/>
      </c>
    </row>
    <row r="195" spans="5:20" ht="11.25" customHeight="1">
      <c r="E195" s="17"/>
      <c r="F195" s="61">
        <f>IF(ISTEXT(F194),"",IF(MAX(F$179:F194)=AA$363,"",F194+1))</f>
      </c>
      <c r="G195" s="61"/>
      <c r="H195" s="61"/>
      <c r="I195" s="70">
        <f t="shared" si="53"/>
      </c>
      <c r="J195" s="70"/>
      <c r="K195" s="70"/>
      <c r="L195" s="70"/>
      <c r="M195" s="70">
        <f t="shared" si="50"/>
      </c>
      <c r="N195" s="70"/>
      <c r="O195" s="70"/>
      <c r="P195" s="71">
        <f t="shared" si="54"/>
      </c>
      <c r="Q195" s="71">
        <f t="shared" si="55"/>
      </c>
      <c r="R195" s="70">
        <f t="shared" si="51"/>
      </c>
      <c r="S195" s="70">
        <f t="shared" si="52"/>
      </c>
      <c r="T195" s="71">
        <f t="shared" si="49"/>
      </c>
    </row>
    <row r="196" spans="5:20" ht="11.25" customHeight="1">
      <c r="E196" s="17"/>
      <c r="F196" s="61">
        <f>IF(ISTEXT(F195),"",IF(MAX(F$179:F195)=AA$363,"",F195+1))</f>
      </c>
      <c r="G196" s="61"/>
      <c r="H196" s="61"/>
      <c r="I196" s="70">
        <f t="shared" si="53"/>
      </c>
      <c r="J196" s="70"/>
      <c r="K196" s="70"/>
      <c r="L196" s="70"/>
      <c r="M196" s="70">
        <f t="shared" si="50"/>
      </c>
      <c r="N196" s="70"/>
      <c r="O196" s="70"/>
      <c r="P196" s="71">
        <f t="shared" si="54"/>
      </c>
      <c r="Q196" s="71">
        <f t="shared" si="55"/>
      </c>
      <c r="R196" s="70">
        <f t="shared" si="51"/>
      </c>
      <c r="S196" s="70">
        <f t="shared" si="52"/>
      </c>
      <c r="T196" s="71">
        <f t="shared" si="49"/>
      </c>
    </row>
    <row r="197" spans="5:20" ht="11.25" customHeight="1">
      <c r="E197" s="17"/>
      <c r="F197" s="61">
        <f>IF(ISTEXT(F196),"",IF(MAX(F$179:F196)=AA$363,"",F196+1))</f>
      </c>
      <c r="G197" s="61"/>
      <c r="H197" s="61"/>
      <c r="I197" s="70">
        <f aca="true" t="shared" si="56" ref="I197:I208">IF(ISTEXT(F197),"",T196)</f>
      </c>
      <c r="J197" s="70"/>
      <c r="K197" s="70"/>
      <c r="L197" s="70"/>
      <c r="M197" s="70">
        <f t="shared" si="50"/>
      </c>
      <c r="N197" s="70"/>
      <c r="O197" s="70"/>
      <c r="P197" s="71">
        <f aca="true" t="shared" si="57" ref="P197:P208">IF(ISTEXT(F197),"",I197-T197)</f>
      </c>
      <c r="Q197" s="71">
        <f aca="true" t="shared" si="58" ref="Q197:Q208">IF(ISTEXT(F197),"",M197-P197)</f>
      </c>
      <c r="R197" s="70">
        <f t="shared" si="51"/>
      </c>
      <c r="S197" s="70">
        <f t="shared" si="52"/>
      </c>
      <c r="T197" s="71">
        <f t="shared" si="49"/>
      </c>
    </row>
    <row r="198" spans="5:20" ht="11.25" customHeight="1">
      <c r="E198" s="17"/>
      <c r="F198" s="61">
        <f>IF(ISTEXT(F197),"",IF(MAX(F$179:F197)=AA$363,"",F197+1))</f>
      </c>
      <c r="G198" s="61"/>
      <c r="H198" s="61"/>
      <c r="I198" s="70">
        <f t="shared" si="56"/>
      </c>
      <c r="J198" s="70"/>
      <c r="K198" s="70"/>
      <c r="L198" s="70"/>
      <c r="M198" s="70">
        <f t="shared" si="50"/>
      </c>
      <c r="N198" s="70"/>
      <c r="O198" s="70"/>
      <c r="P198" s="71">
        <f t="shared" si="57"/>
      </c>
      <c r="Q198" s="71">
        <f t="shared" si="58"/>
      </c>
      <c r="R198" s="70">
        <f t="shared" si="51"/>
      </c>
      <c r="S198" s="70">
        <f t="shared" si="52"/>
      </c>
      <c r="T198" s="71">
        <f t="shared" si="49"/>
      </c>
    </row>
    <row r="199" spans="5:20" ht="11.25" customHeight="1">
      <c r="E199" s="17"/>
      <c r="F199" s="61">
        <f>IF(ISTEXT(F198),"",IF(MAX(F$179:F198)=AA$363,"",F198+1))</f>
      </c>
      <c r="G199" s="61"/>
      <c r="H199" s="61"/>
      <c r="I199" s="70">
        <f t="shared" si="56"/>
      </c>
      <c r="J199" s="70"/>
      <c r="K199" s="70"/>
      <c r="L199" s="70"/>
      <c r="M199" s="70">
        <f t="shared" si="50"/>
      </c>
      <c r="N199" s="70"/>
      <c r="O199" s="70"/>
      <c r="P199" s="71">
        <f t="shared" si="57"/>
      </c>
      <c r="Q199" s="71">
        <f t="shared" si="58"/>
      </c>
      <c r="R199" s="70">
        <f t="shared" si="51"/>
      </c>
      <c r="S199" s="70">
        <f t="shared" si="52"/>
      </c>
      <c r="T199" s="71">
        <f t="shared" si="49"/>
      </c>
    </row>
    <row r="200" spans="5:20" ht="11.25" customHeight="1">
      <c r="E200" s="17"/>
      <c r="F200" s="61">
        <f>IF(ISTEXT(F199),"",IF(MAX(F$179:F199)=AA$363,"",F199+1))</f>
      </c>
      <c r="G200" s="61"/>
      <c r="H200" s="61"/>
      <c r="I200" s="62">
        <f t="shared" si="56"/>
      </c>
      <c r="J200" s="62"/>
      <c r="K200" s="62"/>
      <c r="L200" s="62"/>
      <c r="M200" s="70">
        <f t="shared" si="50"/>
      </c>
      <c r="N200" s="70"/>
      <c r="O200" s="70"/>
      <c r="P200" s="72">
        <f t="shared" si="57"/>
      </c>
      <c r="Q200" s="72">
        <f t="shared" si="58"/>
      </c>
      <c r="R200" s="70">
        <f t="shared" si="51"/>
      </c>
      <c r="S200" s="62">
        <f t="shared" si="52"/>
      </c>
      <c r="T200" s="71">
        <f t="shared" si="49"/>
      </c>
    </row>
    <row r="201" spans="5:20" ht="11.25" customHeight="1">
      <c r="E201" s="17"/>
      <c r="F201" s="61">
        <f>IF(ISTEXT(F200),"",IF(MAX(F$179:F200)=AA$363,"",F200+1))</f>
      </c>
      <c r="G201" s="61"/>
      <c r="H201" s="61"/>
      <c r="I201" s="62">
        <f t="shared" si="56"/>
      </c>
      <c r="J201" s="62"/>
      <c r="K201" s="62"/>
      <c r="L201" s="62"/>
      <c r="M201" s="70">
        <f t="shared" si="50"/>
      </c>
      <c r="N201" s="70"/>
      <c r="O201" s="70"/>
      <c r="P201" s="72">
        <f t="shared" si="57"/>
      </c>
      <c r="Q201" s="72">
        <f t="shared" si="58"/>
      </c>
      <c r="R201" s="62">
        <f t="shared" si="51"/>
      </c>
      <c r="S201" s="62">
        <f t="shared" si="52"/>
      </c>
      <c r="T201" s="72">
        <f t="shared" si="49"/>
      </c>
    </row>
    <row r="202" spans="5:20" ht="11.25" customHeight="1">
      <c r="E202" s="17"/>
      <c r="F202" s="61">
        <f>IF(ISTEXT(F201),"",IF(MAX(F$179:F201)=AA$363,"",F201+1))</f>
      </c>
      <c r="G202" s="61"/>
      <c r="H202" s="61"/>
      <c r="I202" s="62">
        <f t="shared" si="56"/>
      </c>
      <c r="J202" s="62"/>
      <c r="K202" s="62"/>
      <c r="L202" s="62"/>
      <c r="M202" s="62">
        <f t="shared" si="50"/>
      </c>
      <c r="N202" s="62"/>
      <c r="O202" s="62"/>
      <c r="P202" s="72">
        <f t="shared" si="57"/>
      </c>
      <c r="Q202" s="72">
        <f t="shared" si="58"/>
      </c>
      <c r="R202" s="62">
        <f t="shared" si="51"/>
      </c>
      <c r="S202" s="62">
        <f t="shared" si="52"/>
      </c>
      <c r="T202" s="72">
        <f t="shared" si="49"/>
      </c>
    </row>
    <row r="203" spans="5:20" ht="11.25" customHeight="1">
      <c r="E203" s="17"/>
      <c r="F203" s="61">
        <f>IF(ISTEXT(F202),"",IF(MAX(F$179:F202)=AA$363,"",F202+1))</f>
      </c>
      <c r="G203" s="61"/>
      <c r="H203" s="61"/>
      <c r="I203" s="62">
        <f t="shared" si="56"/>
      </c>
      <c r="J203" s="62"/>
      <c r="K203" s="62"/>
      <c r="L203" s="62"/>
      <c r="M203" s="62">
        <f t="shared" si="50"/>
      </c>
      <c r="N203" s="62"/>
      <c r="O203" s="62"/>
      <c r="P203" s="72">
        <f t="shared" si="57"/>
      </c>
      <c r="Q203" s="72">
        <f t="shared" si="58"/>
      </c>
      <c r="R203" s="62">
        <f t="shared" si="51"/>
      </c>
      <c r="S203" s="62">
        <f t="shared" si="52"/>
      </c>
      <c r="T203" s="72">
        <f t="shared" si="49"/>
      </c>
    </row>
    <row r="204" spans="5:20" ht="11.25" customHeight="1">
      <c r="E204" s="17"/>
      <c r="F204" s="61">
        <f>IF(ISTEXT(F203),"",IF(MAX(F$179:F203)=AA$363,"",F203+1))</f>
      </c>
      <c r="G204" s="61"/>
      <c r="H204" s="61"/>
      <c r="I204" s="62">
        <f t="shared" si="56"/>
      </c>
      <c r="J204" s="62"/>
      <c r="K204" s="62"/>
      <c r="L204" s="62"/>
      <c r="M204" s="62">
        <f t="shared" si="50"/>
      </c>
      <c r="N204" s="62"/>
      <c r="O204" s="62"/>
      <c r="P204" s="72">
        <f t="shared" si="57"/>
      </c>
      <c r="Q204" s="72">
        <f t="shared" si="58"/>
      </c>
      <c r="R204" s="62">
        <f t="shared" si="51"/>
      </c>
      <c r="S204" s="62">
        <f t="shared" si="52"/>
      </c>
      <c r="T204" s="72">
        <f t="shared" si="49"/>
      </c>
    </row>
    <row r="205" spans="5:20" ht="11.25" customHeight="1">
      <c r="E205" s="17"/>
      <c r="F205" s="61">
        <f>IF(ISTEXT(F204),"",IF(MAX(F$179:F204)=AA$363,"",F204+1))</f>
      </c>
      <c r="G205" s="61"/>
      <c r="H205" s="61"/>
      <c r="I205" s="62">
        <f t="shared" si="56"/>
      </c>
      <c r="J205" s="62"/>
      <c r="K205" s="62"/>
      <c r="L205" s="62"/>
      <c r="M205" s="62">
        <f t="shared" si="50"/>
      </c>
      <c r="N205" s="62"/>
      <c r="O205" s="62"/>
      <c r="P205" s="72">
        <f t="shared" si="57"/>
      </c>
      <c r="Q205" s="72">
        <f t="shared" si="58"/>
      </c>
      <c r="R205" s="62">
        <f t="shared" si="51"/>
      </c>
      <c r="S205" s="62">
        <f t="shared" si="52"/>
      </c>
      <c r="T205" s="72">
        <f t="shared" si="49"/>
      </c>
    </row>
    <row r="206" spans="5:20" ht="11.25" customHeight="1">
      <c r="E206" s="17"/>
      <c r="F206" s="61">
        <f>IF(ISTEXT(F205),"",IF(MAX(F$179:F205)=AA$363,"",F205+1))</f>
      </c>
      <c r="G206" s="61"/>
      <c r="H206" s="61"/>
      <c r="I206" s="62">
        <f t="shared" si="56"/>
      </c>
      <c r="J206" s="62"/>
      <c r="K206" s="62"/>
      <c r="L206" s="62"/>
      <c r="M206" s="62">
        <f t="shared" si="50"/>
      </c>
      <c r="N206" s="62"/>
      <c r="O206" s="62"/>
      <c r="P206" s="72">
        <f t="shared" si="57"/>
      </c>
      <c r="Q206" s="72">
        <f t="shared" si="58"/>
      </c>
      <c r="R206" s="62">
        <f t="shared" si="51"/>
      </c>
      <c r="S206" s="62">
        <f t="shared" si="52"/>
      </c>
      <c r="T206" s="72">
        <f t="shared" si="49"/>
      </c>
    </row>
    <row r="207" spans="5:20" ht="11.25" customHeight="1">
      <c r="E207" s="17"/>
      <c r="F207" s="61">
        <f>IF(ISTEXT(F206),"",IF(MAX(F$179:F206)=AA$363,"",F206+1))</f>
      </c>
      <c r="G207" s="61"/>
      <c r="H207" s="61"/>
      <c r="I207" s="62">
        <f t="shared" si="56"/>
      </c>
      <c r="J207" s="62"/>
      <c r="K207" s="62"/>
      <c r="L207" s="62"/>
      <c r="M207" s="62">
        <f t="shared" si="50"/>
      </c>
      <c r="N207" s="62"/>
      <c r="O207" s="62"/>
      <c r="P207" s="72">
        <f t="shared" si="57"/>
      </c>
      <c r="Q207" s="72">
        <f t="shared" si="58"/>
      </c>
      <c r="R207" s="62">
        <f t="shared" si="51"/>
      </c>
      <c r="S207" s="62">
        <f t="shared" si="52"/>
      </c>
      <c r="T207" s="72">
        <f t="shared" si="49"/>
      </c>
    </row>
    <row r="208" spans="5:20" ht="11.25" customHeight="1">
      <c r="E208" s="17"/>
      <c r="F208" s="61">
        <f>IF(ISTEXT(F207),"",IF(MAX(F$179:F207)=AA$363,"",F207+1))</f>
      </c>
      <c r="G208" s="61"/>
      <c r="H208" s="61"/>
      <c r="I208" s="62">
        <f t="shared" si="56"/>
      </c>
      <c r="J208" s="62"/>
      <c r="K208" s="62"/>
      <c r="L208" s="62"/>
      <c r="M208" s="62">
        <f t="shared" si="50"/>
      </c>
      <c r="N208" s="62"/>
      <c r="O208" s="62"/>
      <c r="P208" s="72">
        <f t="shared" si="57"/>
      </c>
      <c r="Q208" s="72">
        <f t="shared" si="58"/>
      </c>
      <c r="R208" s="62">
        <f t="shared" si="51"/>
      </c>
      <c r="S208" s="62">
        <f t="shared" si="52"/>
      </c>
      <c r="T208" s="72">
        <f t="shared" si="49"/>
      </c>
    </row>
    <row r="209" spans="6:20" ht="12.75">
      <c r="F209" s="69"/>
      <c r="G209" s="69"/>
      <c r="H209" s="69"/>
      <c r="I209" s="69"/>
      <c r="J209" s="69"/>
      <c r="K209" s="69"/>
      <c r="L209" s="69"/>
      <c r="M209" s="69"/>
      <c r="N209" s="69"/>
      <c r="O209" s="69"/>
      <c r="P209" s="69"/>
      <c r="Q209" s="69"/>
      <c r="R209" s="69"/>
      <c r="S209" s="69"/>
      <c r="T209" s="69"/>
    </row>
    <row r="210" spans="6:20" ht="12.75">
      <c r="F210" s="69"/>
      <c r="G210" s="69"/>
      <c r="H210" s="69"/>
      <c r="I210" s="69"/>
      <c r="J210" s="69"/>
      <c r="K210" s="69"/>
      <c r="L210" s="69"/>
      <c r="M210" s="69"/>
      <c r="N210" s="69"/>
      <c r="O210" s="69"/>
      <c r="P210" s="69"/>
      <c r="Q210" s="69"/>
      <c r="R210" s="69"/>
      <c r="S210" s="69"/>
      <c r="T210" s="69"/>
    </row>
    <row r="211" spans="6:20" ht="12.75">
      <c r="F211" s="69"/>
      <c r="G211" s="69"/>
      <c r="H211" s="69"/>
      <c r="I211" s="69"/>
      <c r="J211" s="69"/>
      <c r="K211" s="69"/>
      <c r="L211" s="69"/>
      <c r="M211" s="69"/>
      <c r="N211" s="69"/>
      <c r="O211" s="69"/>
      <c r="P211" s="69"/>
      <c r="Q211" s="69"/>
      <c r="R211" s="69"/>
      <c r="S211" s="69"/>
      <c r="T211" s="69"/>
    </row>
    <row r="212" spans="6:20" ht="12.75">
      <c r="F212" s="69"/>
      <c r="G212" s="69"/>
      <c r="H212" s="69"/>
      <c r="I212" s="69"/>
      <c r="J212" s="69"/>
      <c r="K212" s="69"/>
      <c r="L212" s="69"/>
      <c r="M212" s="69"/>
      <c r="N212" s="69"/>
      <c r="O212" s="69"/>
      <c r="P212" s="69"/>
      <c r="Q212" s="69"/>
      <c r="R212" s="69"/>
      <c r="S212" s="69"/>
      <c r="T212" s="69"/>
    </row>
    <row r="213" spans="6:20" ht="12.75">
      <c r="F213" s="69"/>
      <c r="G213" s="69"/>
      <c r="H213" s="69"/>
      <c r="I213" s="69"/>
      <c r="J213" s="69"/>
      <c r="K213" s="69"/>
      <c r="L213" s="69"/>
      <c r="M213" s="69"/>
      <c r="N213" s="69"/>
      <c r="O213" s="69"/>
      <c r="P213" s="69"/>
      <c r="Q213" s="69"/>
      <c r="R213" s="69"/>
      <c r="S213" s="69"/>
      <c r="T213" s="69"/>
    </row>
    <row r="214" spans="6:20" ht="12.75">
      <c r="F214" s="69"/>
      <c r="G214" s="69"/>
      <c r="H214" s="69"/>
      <c r="I214" s="69"/>
      <c r="J214" s="69"/>
      <c r="K214" s="69"/>
      <c r="L214" s="69"/>
      <c r="M214" s="69"/>
      <c r="N214" s="69"/>
      <c r="O214" s="69"/>
      <c r="P214" s="69"/>
      <c r="Q214" s="69"/>
      <c r="R214" s="69"/>
      <c r="S214" s="69"/>
      <c r="T214" s="69"/>
    </row>
    <row r="215" spans="6:20" ht="12.75">
      <c r="F215" s="69"/>
      <c r="G215" s="69"/>
      <c r="H215" s="69"/>
      <c r="I215" s="69"/>
      <c r="J215" s="69"/>
      <c r="K215" s="69"/>
      <c r="L215" s="69"/>
      <c r="M215" s="69"/>
      <c r="N215" s="69"/>
      <c r="O215" s="69"/>
      <c r="P215" s="69"/>
      <c r="Q215" s="69"/>
      <c r="R215" s="69"/>
      <c r="S215" s="69"/>
      <c r="T215" s="69"/>
    </row>
    <row r="341" ht="13.5" thickBot="1"/>
    <row r="342" spans="23:27" ht="13.5" thickTop="1">
      <c r="W342" s="4" t="s">
        <v>22</v>
      </c>
      <c r="X342" s="5"/>
      <c r="Y342" s="5"/>
      <c r="Z342" s="5"/>
      <c r="AA342" s="6"/>
    </row>
    <row r="343" spans="23:27" ht="12.75">
      <c r="W343" s="7"/>
      <c r="X343" s="8"/>
      <c r="Y343" s="8"/>
      <c r="Z343" s="8"/>
      <c r="AA343" s="9"/>
    </row>
    <row r="344" spans="23:27" ht="12.75">
      <c r="W344" s="7">
        <v>1</v>
      </c>
      <c r="X344" s="8" t="s">
        <v>23</v>
      </c>
      <c r="Y344" s="8">
        <f>IF(ISNA(MATCH(PROPER(LEFT(T44,3)),AA344:AA355,0)),1,MATCH(PROPER(LEFT(T44,3)),AA344:AA355,0))</f>
        <v>1</v>
      </c>
      <c r="Z344" s="8"/>
      <c r="AA344" s="9" t="s">
        <v>23</v>
      </c>
    </row>
    <row r="345" spans="23:27" ht="12.75">
      <c r="W345" s="7">
        <v>2</v>
      </c>
      <c r="X345" s="8" t="s">
        <v>24</v>
      </c>
      <c r="Y345" s="8">
        <f aca="true" t="shared" si="59" ref="Y345:Y355">IF(Y344=12,1,Y344+1)</f>
        <v>2</v>
      </c>
      <c r="Z345" s="8"/>
      <c r="AA345" s="9" t="s">
        <v>24</v>
      </c>
    </row>
    <row r="346" spans="23:27" ht="12.75">
      <c r="W346" s="7">
        <v>3</v>
      </c>
      <c r="X346" s="8" t="s">
        <v>25</v>
      </c>
      <c r="Y346" s="8">
        <f t="shared" si="59"/>
        <v>3</v>
      </c>
      <c r="Z346" s="8"/>
      <c r="AA346" s="9" t="s">
        <v>25</v>
      </c>
    </row>
    <row r="347" spans="23:27" ht="12.75">
      <c r="W347" s="7">
        <v>4</v>
      </c>
      <c r="X347" s="8" t="s">
        <v>26</v>
      </c>
      <c r="Y347" s="8">
        <f t="shared" si="59"/>
        <v>4</v>
      </c>
      <c r="Z347" s="8"/>
      <c r="AA347" s="9" t="s">
        <v>26</v>
      </c>
    </row>
    <row r="348" spans="23:27" ht="12.75">
      <c r="W348" s="7">
        <v>5</v>
      </c>
      <c r="X348" s="8" t="s">
        <v>27</v>
      </c>
      <c r="Y348" s="8">
        <f t="shared" si="59"/>
        <v>5</v>
      </c>
      <c r="Z348" s="8"/>
      <c r="AA348" s="9" t="s">
        <v>27</v>
      </c>
    </row>
    <row r="349" spans="23:27" ht="12.75">
      <c r="W349" s="7">
        <v>6</v>
      </c>
      <c r="X349" s="8" t="s">
        <v>28</v>
      </c>
      <c r="Y349" s="8">
        <f t="shared" si="59"/>
        <v>6</v>
      </c>
      <c r="Z349" s="8"/>
      <c r="AA349" s="9" t="s">
        <v>28</v>
      </c>
    </row>
    <row r="350" spans="23:27" ht="12.75">
      <c r="W350" s="7">
        <v>7</v>
      </c>
      <c r="X350" s="8" t="s">
        <v>29</v>
      </c>
      <c r="Y350" s="8">
        <f t="shared" si="59"/>
        <v>7</v>
      </c>
      <c r="Z350" s="8"/>
      <c r="AA350" s="9" t="s">
        <v>29</v>
      </c>
    </row>
    <row r="351" spans="23:27" ht="12.75">
      <c r="W351" s="7">
        <v>8</v>
      </c>
      <c r="X351" s="8" t="s">
        <v>30</v>
      </c>
      <c r="Y351" s="8">
        <f t="shared" si="59"/>
        <v>8</v>
      </c>
      <c r="Z351" s="8"/>
      <c r="AA351" s="9" t="s">
        <v>30</v>
      </c>
    </row>
    <row r="352" spans="23:27" ht="12.75">
      <c r="W352" s="7">
        <v>9</v>
      </c>
      <c r="X352" s="8" t="s">
        <v>31</v>
      </c>
      <c r="Y352" s="8">
        <f t="shared" si="59"/>
        <v>9</v>
      </c>
      <c r="Z352" s="8"/>
      <c r="AA352" s="9" t="s">
        <v>31</v>
      </c>
    </row>
    <row r="353" spans="23:27" ht="12.75">
      <c r="W353" s="7">
        <v>10</v>
      </c>
      <c r="X353" s="8" t="s">
        <v>32</v>
      </c>
      <c r="Y353" s="8">
        <f t="shared" si="59"/>
        <v>10</v>
      </c>
      <c r="Z353" s="8"/>
      <c r="AA353" s="9" t="s">
        <v>32</v>
      </c>
    </row>
    <row r="354" spans="23:27" ht="12.75">
      <c r="W354" s="7">
        <v>11</v>
      </c>
      <c r="X354" s="8" t="s">
        <v>33</v>
      </c>
      <c r="Y354" s="8">
        <f t="shared" si="59"/>
        <v>11</v>
      </c>
      <c r="Z354" s="8"/>
      <c r="AA354" s="9" t="s">
        <v>33</v>
      </c>
    </row>
    <row r="355" spans="23:27" ht="12.75">
      <c r="W355" s="7">
        <v>12</v>
      </c>
      <c r="X355" s="8" t="s">
        <v>34</v>
      </c>
      <c r="Y355" s="8">
        <f t="shared" si="59"/>
        <v>12</v>
      </c>
      <c r="Z355" s="8"/>
      <c r="AA355" s="9" t="s">
        <v>34</v>
      </c>
    </row>
    <row r="356" spans="23:27" ht="12.75">
      <c r="W356" s="7"/>
      <c r="X356" s="8"/>
      <c r="Y356" s="8"/>
      <c r="Z356" s="8"/>
      <c r="AA356" s="9"/>
    </row>
    <row r="357" spans="23:27" ht="12.75">
      <c r="W357" s="10">
        <f>IF(F53="Jan",24,MATCH("Jan",F53:F64,0)+11)</f>
        <v>24</v>
      </c>
      <c r="X357" s="8">
        <f>AA360-W357</f>
        <v>96</v>
      </c>
      <c r="Y357" s="8"/>
      <c r="Z357" s="8"/>
      <c r="AA357" s="9"/>
    </row>
    <row r="358" spans="23:27" ht="12.75">
      <c r="W358" s="7">
        <f>MIN(AA$360,W357+12)</f>
        <v>36</v>
      </c>
      <c r="X358" s="8">
        <f>AA360-W358</f>
        <v>84</v>
      </c>
      <c r="Y358" s="8"/>
      <c r="Z358" s="8"/>
      <c r="AA358" s="9"/>
    </row>
    <row r="359" spans="23:27" ht="12.75">
      <c r="W359" s="7">
        <f aca="true" t="shared" si="60" ref="W359:W374">MIN(AA$360,W358+12)</f>
        <v>48</v>
      </c>
      <c r="X359" s="8">
        <f>AA360-W359</f>
        <v>72</v>
      </c>
      <c r="Y359" s="8"/>
      <c r="Z359" s="8"/>
      <c r="AA359" s="9"/>
    </row>
    <row r="360" spans="23:27" ht="12.75">
      <c r="W360" s="7">
        <f t="shared" si="60"/>
        <v>60</v>
      </c>
      <c r="X360" s="8">
        <f>AA360-W360</f>
        <v>60</v>
      </c>
      <c r="Y360" s="8"/>
      <c r="Z360" s="8" t="s">
        <v>35</v>
      </c>
      <c r="AA360" s="9">
        <f>T42*12</f>
        <v>120</v>
      </c>
    </row>
    <row r="361" spans="23:27" ht="12.75">
      <c r="W361" s="7">
        <f t="shared" si="60"/>
        <v>72</v>
      </c>
      <c r="X361" s="8">
        <f>AA360-W361</f>
        <v>48</v>
      </c>
      <c r="Y361" s="8"/>
      <c r="Z361" s="8" t="s">
        <v>36</v>
      </c>
      <c r="AA361" s="18">
        <f>T43</f>
        <v>2004</v>
      </c>
    </row>
    <row r="362" spans="23:27" ht="12.75">
      <c r="W362" s="7">
        <f t="shared" si="60"/>
        <v>84</v>
      </c>
      <c r="X362" s="8">
        <f>AA360-W362</f>
        <v>36</v>
      </c>
      <c r="Y362" s="8"/>
      <c r="Z362" s="8" t="s">
        <v>37</v>
      </c>
      <c r="AA362" s="9">
        <f>AA360/12</f>
        <v>10</v>
      </c>
    </row>
    <row r="363" spans="23:27" ht="12.75">
      <c r="W363" s="7">
        <f t="shared" si="60"/>
        <v>96</v>
      </c>
      <c r="X363" s="8">
        <f>AA360-W363</f>
        <v>24</v>
      </c>
      <c r="Y363" s="8"/>
      <c r="Z363" s="8" t="s">
        <v>38</v>
      </c>
      <c r="AA363" s="18">
        <f>IF(T43,AA362+AA361-IF(PROPER(LEFT(F53,3))="Jan",1,0),"")</f>
        <v>2013</v>
      </c>
    </row>
    <row r="364" spans="23:27" ht="12.75">
      <c r="W364" s="7">
        <f t="shared" si="60"/>
        <v>108</v>
      </c>
      <c r="X364" s="8">
        <f>AA360-W364</f>
        <v>12</v>
      </c>
      <c r="Y364" s="8"/>
      <c r="Z364" s="8" t="s">
        <v>39</v>
      </c>
      <c r="AA364" s="9">
        <f>Y355</f>
        <v>12</v>
      </c>
    </row>
    <row r="365" spans="23:27" ht="12.75">
      <c r="W365" s="7">
        <f t="shared" si="60"/>
        <v>120</v>
      </c>
      <c r="X365" s="8">
        <f>AA360-W365</f>
        <v>0</v>
      </c>
      <c r="Y365" s="8"/>
      <c r="Z365" s="8"/>
      <c r="AA365" s="9"/>
    </row>
    <row r="366" spans="23:27" ht="12.75">
      <c r="W366" s="7">
        <f t="shared" si="60"/>
        <v>120</v>
      </c>
      <c r="X366" s="8">
        <f>AA360-W366</f>
        <v>0</v>
      </c>
      <c r="Y366" s="8"/>
      <c r="Z366" s="8"/>
      <c r="AA366" s="9"/>
    </row>
    <row r="367" spans="23:27" ht="12.75">
      <c r="W367" s="7">
        <f t="shared" si="60"/>
        <v>120</v>
      </c>
      <c r="X367" s="8">
        <f>AA360-W367</f>
        <v>0</v>
      </c>
      <c r="Y367" s="8"/>
      <c r="Z367" s="8"/>
      <c r="AA367" s="9"/>
    </row>
    <row r="368" spans="23:27" ht="12.75">
      <c r="W368" s="7">
        <f t="shared" si="60"/>
        <v>120</v>
      </c>
      <c r="X368" s="8">
        <f>AA360-W368</f>
        <v>0</v>
      </c>
      <c r="Y368" s="8"/>
      <c r="Z368" s="8"/>
      <c r="AA368" s="9"/>
    </row>
    <row r="369" spans="23:27" ht="12.75">
      <c r="W369" s="7">
        <f t="shared" si="60"/>
        <v>120</v>
      </c>
      <c r="X369" s="8">
        <f>AA360-W369</f>
        <v>0</v>
      </c>
      <c r="Y369" s="8"/>
      <c r="Z369" s="8"/>
      <c r="AA369" s="9"/>
    </row>
    <row r="370" spans="23:27" ht="12.75">
      <c r="W370" s="7">
        <f t="shared" si="60"/>
        <v>120</v>
      </c>
      <c r="X370" s="8">
        <f>AA360-W370</f>
        <v>0</v>
      </c>
      <c r="Y370" s="8"/>
      <c r="Z370" s="8"/>
      <c r="AA370" s="9"/>
    </row>
    <row r="371" spans="23:27" ht="12.75">
      <c r="W371" s="7">
        <f t="shared" si="60"/>
        <v>120</v>
      </c>
      <c r="X371" s="8">
        <f>AA360-W371</f>
        <v>0</v>
      </c>
      <c r="Y371" s="8"/>
      <c r="Z371" s="8"/>
      <c r="AA371" s="9"/>
    </row>
    <row r="372" spans="23:27" ht="12.75">
      <c r="W372" s="7">
        <f t="shared" si="60"/>
        <v>120</v>
      </c>
      <c r="X372" s="8">
        <f>AA360-W372</f>
        <v>0</v>
      </c>
      <c r="Y372" s="8"/>
      <c r="Z372" s="8"/>
      <c r="AA372" s="9"/>
    </row>
    <row r="373" spans="23:27" ht="12.75">
      <c r="W373" s="7">
        <f t="shared" si="60"/>
        <v>120</v>
      </c>
      <c r="X373" s="8">
        <f>AA360-W373</f>
        <v>0</v>
      </c>
      <c r="Y373" s="8"/>
      <c r="Z373" s="8"/>
      <c r="AA373" s="9"/>
    </row>
    <row r="374" spans="23:27" ht="12.75">
      <c r="W374" s="7">
        <f t="shared" si="60"/>
        <v>120</v>
      </c>
      <c r="X374" s="8">
        <f>AA360-W374</f>
        <v>0</v>
      </c>
      <c r="Y374" s="8"/>
      <c r="Z374" s="8"/>
      <c r="AA374" s="9"/>
    </row>
    <row r="375" spans="23:27" ht="12.75">
      <c r="W375" s="7">
        <f aca="true" t="shared" si="61" ref="W375:W386">MIN(AA$360,W374+12)</f>
        <v>120</v>
      </c>
      <c r="X375" s="8">
        <f>AA360-W375</f>
        <v>0</v>
      </c>
      <c r="Y375" s="8"/>
      <c r="Z375" s="8"/>
      <c r="AA375" s="9"/>
    </row>
    <row r="376" spans="23:27" ht="12.75">
      <c r="W376" s="7">
        <f t="shared" si="61"/>
        <v>120</v>
      </c>
      <c r="X376" s="8">
        <f>AA360-W376</f>
        <v>0</v>
      </c>
      <c r="Y376" s="8"/>
      <c r="Z376" s="8"/>
      <c r="AA376" s="9"/>
    </row>
    <row r="377" spans="23:27" ht="12.75">
      <c r="W377" s="7">
        <f t="shared" si="61"/>
        <v>120</v>
      </c>
      <c r="X377" s="8">
        <f>AA360-W377</f>
        <v>0</v>
      </c>
      <c r="Y377" s="8"/>
      <c r="Z377" s="8"/>
      <c r="AA377" s="9"/>
    </row>
    <row r="378" spans="23:27" ht="12.75">
      <c r="W378" s="7">
        <f t="shared" si="61"/>
        <v>120</v>
      </c>
      <c r="X378" s="8">
        <f>AA360-W378</f>
        <v>0</v>
      </c>
      <c r="Y378" s="8"/>
      <c r="Z378" s="8"/>
      <c r="AA378" s="9"/>
    </row>
    <row r="379" spans="23:27" ht="12.75">
      <c r="W379" s="7">
        <f t="shared" si="61"/>
        <v>120</v>
      </c>
      <c r="X379" s="8">
        <f>AA360-W379</f>
        <v>0</v>
      </c>
      <c r="Y379" s="8"/>
      <c r="Z379" s="8"/>
      <c r="AA379" s="9"/>
    </row>
    <row r="380" spans="23:27" ht="12.75">
      <c r="W380" s="7">
        <f t="shared" si="61"/>
        <v>120</v>
      </c>
      <c r="X380" s="8">
        <f>AA360-W380</f>
        <v>0</v>
      </c>
      <c r="Y380" s="8"/>
      <c r="Z380" s="8"/>
      <c r="AA380" s="9"/>
    </row>
    <row r="381" spans="23:27" ht="12.75">
      <c r="W381" s="7">
        <f t="shared" si="61"/>
        <v>120</v>
      </c>
      <c r="X381" s="8">
        <f>AA360-W381</f>
        <v>0</v>
      </c>
      <c r="Y381" s="8"/>
      <c r="Z381" s="8"/>
      <c r="AA381" s="9"/>
    </row>
    <row r="382" spans="23:27" ht="12.75">
      <c r="W382" s="7">
        <f t="shared" si="61"/>
        <v>120</v>
      </c>
      <c r="X382" s="8">
        <f>AA360-W382</f>
        <v>0</v>
      </c>
      <c r="Y382" s="8"/>
      <c r="Z382" s="8"/>
      <c r="AA382" s="9"/>
    </row>
    <row r="383" spans="23:27" ht="12.75">
      <c r="W383" s="7">
        <f t="shared" si="61"/>
        <v>120</v>
      </c>
      <c r="X383" s="8">
        <f>AA360-W383</f>
        <v>0</v>
      </c>
      <c r="Y383" s="8"/>
      <c r="Z383" s="8"/>
      <c r="AA383" s="9"/>
    </row>
    <row r="384" spans="23:27" ht="12.75">
      <c r="W384" s="7">
        <f t="shared" si="61"/>
        <v>120</v>
      </c>
      <c r="X384" s="8">
        <f>AA360-W384</f>
        <v>0</v>
      </c>
      <c r="Y384" s="8"/>
      <c r="Z384" s="8"/>
      <c r="AA384" s="9"/>
    </row>
    <row r="385" spans="23:27" ht="12.75">
      <c r="W385" s="7">
        <f t="shared" si="61"/>
        <v>120</v>
      </c>
      <c r="X385" s="8">
        <f>AA360-W385</f>
        <v>0</v>
      </c>
      <c r="Y385" s="8"/>
      <c r="Z385" s="8"/>
      <c r="AA385" s="9"/>
    </row>
    <row r="386" spans="23:27" ht="13.5" thickBot="1">
      <c r="W386" s="11">
        <f t="shared" si="61"/>
        <v>120</v>
      </c>
      <c r="X386" s="12">
        <f>AA360-W386</f>
        <v>0</v>
      </c>
      <c r="Y386" s="12"/>
      <c r="Z386" s="12"/>
      <c r="AA386" s="13"/>
    </row>
    <row r="387" ht="13.5" thickTop="1"/>
  </sheetData>
  <sheetProtection password="D7EB" sheet="1" objects="1" scenarios="1"/>
  <hyperlinks>
    <hyperlink ref="I3" r:id="rId1" display="http://www.mortgage-investments.com"/>
  </hyperlinks>
  <printOptions horizontalCentered="1"/>
  <pageMargins left="0.64" right="0.9" top="0.65" bottom="0.65" header="0.5" footer="0.5"/>
  <pageSetup fitToHeight="5" horizontalDpi="300" verticalDpi="300" orientation="landscape" r:id="rId3"/>
  <rowBreaks count="1" manualBreakCount="1">
    <brk id="31" max="26" man="1"/>
  </rowBreaks>
  <colBreaks count="1" manualBreakCount="1">
    <brk id="21" min="1" max="206" man="1"/>
  </colBreaks>
  <drawing r:id="rId2"/>
</worksheet>
</file>

<file path=xl/worksheets/sheet2.xml><?xml version="1.0" encoding="utf-8"?>
<worksheet xmlns="http://schemas.openxmlformats.org/spreadsheetml/2006/main" xmlns:r="http://schemas.openxmlformats.org/officeDocument/2006/relationships">
  <dimension ref="A1:B4"/>
  <sheetViews>
    <sheetView showRowColHeaders="0" workbookViewId="0" topLeftCell="A1">
      <selection activeCell="A1" sqref="A1"/>
    </sheetView>
  </sheetViews>
  <sheetFormatPr defaultColWidth="9.140625" defaultRowHeight="12.75"/>
  <sheetData>
    <row r="1" spans="1:2" ht="12.75">
      <c r="A1" t="s">
        <v>40</v>
      </c>
      <c r="B1" t="b">
        <v>0</v>
      </c>
    </row>
    <row r="2" spans="1:2" ht="12.75">
      <c r="A2" t="s">
        <v>41</v>
      </c>
      <c r="B2" t="b">
        <v>0</v>
      </c>
    </row>
    <row r="3" spans="1:2" ht="12.75">
      <c r="A3" t="s">
        <v>42</v>
      </c>
      <c r="B3" t="s">
        <v>44</v>
      </c>
    </row>
    <row r="4" spans="1:2" ht="12.75">
      <c r="A4" t="s">
        <v>43</v>
      </c>
      <c r="B4">
        <v>1</v>
      </c>
    </row>
  </sheetData>
  <sheetProtection sheet="1" objects="1" scenarios="1"/>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Mortgage-investments.com,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Mortgage Amortization</dc:title>
  <dc:subject/>
  <dc:creator>Mortgage-investments.com, Inc.</dc:creator>
  <cp:keywords>Real Estate Mortgage Amortization Loan Schedule</cp:keywords>
  <dc:description>Use this template to create a loan amortization schedule.</dc:description>
  <cp:lastModifiedBy>Linton</cp:lastModifiedBy>
  <cp:lastPrinted>2004-11-01T15:41:17Z</cp:lastPrinted>
  <dcterms:created xsi:type="dcterms:W3CDTF">1997-03-01T10:50:09Z</dcterms:created>
  <dcterms:modified xsi:type="dcterms:W3CDTF">2004-11-01T17:14:13Z</dcterms:modified>
  <cp:category>Real Estate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ttribution">
    <vt:lpwstr>Copyright © 2003 KMT Software, Inc.</vt:lpwstr>
  </property>
</Properties>
</file>